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285" yWindow="360" windowWidth="7980" windowHeight="4455" activeTab="0"/>
  </bookViews>
  <sheets>
    <sheet name="Poliof40 - LIVROB" sheetId="1" r:id="rId1"/>
  </sheets>
  <definedNames>
    <definedName name="_Regression_Int" localSheetId="0" hidden="1">1</definedName>
    <definedName name="Apagar">'Poliof40 - LIVROB'!$M$6,'Poliof40 - LIVROB'!$M$8,'Poliof40 - LIVROB'!$M$33,'Poliof40 - LIVROB'!$M$35,'Poliof40 - LIVROB'!$M$84,'Poliof40 - LIVROB'!$K$84:$N$84,'Poliof40 - LIVROB'!$K$91:$N$91,'Poliof40 - LIVROB'!$K$98:$N$98,'Poliof40 - LIVROB'!$K$105:$N$105,'Poliof40 - LIVROB'!$K$112:$N$112,'Poliof40 - LIVROB'!$K$119:$N$119,'Poliof40 - LIVROB'!$K$126:$N$126</definedName>
    <definedName name="ÁreaImpressão1">'Poliof40 - LIVROB'!$B$509:$J$530</definedName>
    <definedName name="ÁreaImpressão2">'Poliof40 - LIVROB'!$B$533:$H$582</definedName>
    <definedName name="ÁreaImpressão3">'Poliof40 - LIVROB'!$A$2:$M$74</definedName>
    <definedName name="ÁreaImpressão4">'Poliof40 - LIVROB'!$A$77:$N$127</definedName>
    <definedName name="ÁreaImpressão5">'Poliof40 - LIVROB'!$A$130:$N$290</definedName>
    <definedName name="ÁreaImpressão6">'Poliof40 - LIVROB'!$A$294:$M$368</definedName>
    <definedName name="ÁreaImpressão7">'Poliof40 - LIVROB'!$B$608:$O$651</definedName>
    <definedName name="ÁreaImpressão8">'Poliof40 - LIVROB'!$B$655:$N$881</definedName>
    <definedName name="Avança_1">'Poliof40 - LIVROB'!$C$6:$M$6</definedName>
    <definedName name="Avança_1_">'Poliof40 - LIVROB'!$B$6:$L$6</definedName>
    <definedName name="Avança_10">'Poliof40 - LIVROB'!$G$119:$N$119</definedName>
    <definedName name="Avança_10_">'Poliof40 - LIVROB'!$C$119:$J$119</definedName>
    <definedName name="Avança_11">'Poliof40 - LIVROB'!$G$126:$N$126</definedName>
    <definedName name="Avança_11_">'Poliof40 - LIVROB'!$C$126:$J$126</definedName>
    <definedName name="Avança_2">'Poliof40 - LIVROB'!$C$8:$M$8</definedName>
    <definedName name="Avança_2_">'Poliof40 - LIVROB'!$B$8:$L$8</definedName>
    <definedName name="Avança_3">'Poliof40 - LIVROB'!$C$33:$M$33</definedName>
    <definedName name="Avança_3_">'Poliof40 - LIVROB'!$B$33:$L$33</definedName>
    <definedName name="Avança_4">'Poliof40 - LIVROB'!$C$35:$M$35</definedName>
    <definedName name="Avança_4_">'Poliof40 - LIVROB'!$B$35:$L$35</definedName>
    <definedName name="Avança_5">'Poliof40 - LIVROB'!$G$84:$N$84</definedName>
    <definedName name="Avança_5_">'Poliof40 - LIVROB'!$C$84:$J$84</definedName>
    <definedName name="Avança_6">'Poliof40 - LIVROB'!$G$91:$N$91</definedName>
    <definedName name="Avança_6_">'Poliof40 - LIVROB'!$C$91:$J$91</definedName>
    <definedName name="Avança_7">'Poliof40 - LIVROB'!$G$98:$N$98</definedName>
    <definedName name="Avança_7_">'Poliof40 - LIVROB'!$C$98:$J$98</definedName>
    <definedName name="Avança_8">'Poliof40 - LIVROB'!$G$105:$N$105</definedName>
    <definedName name="Avança_8_">'Poliof40 - LIVROB'!$C$105:$J$105</definedName>
    <definedName name="Avança_9">'Poliof40 - LIVROB'!$G$112:$N$112</definedName>
    <definedName name="Avança_9_">'Poliof40 - LIVROB'!$C$112:$J$112</definedName>
    <definedName name="CAB600A">'Poliof40 - LIVROB'!$D$628:$G$628</definedName>
    <definedName name="CAB600M">'Poliof40 - LIVROB'!$D$629:$G$629</definedName>
    <definedName name="CAB603A">'Poliof40 - LIVROB'!$D$630:$G$630</definedName>
    <definedName name="CAB603M">'Poliof40 - LIVROB'!$D$631:$G$631</definedName>
    <definedName name="CHP100A">'Poliof40 - LIVROB'!$D$638:$G$638</definedName>
    <definedName name="CHP100M">'Poliof40 - LIVROB'!$D$639:$G$639</definedName>
    <definedName name="CHP101A">'Poliof40 - LIVROB'!$D$640:$G$640</definedName>
    <definedName name="CHP101M">'Poliof40 - LIVROB'!$D$641:$G$641</definedName>
    <definedName name="CHP301A">'Poliof40 - LIVROB'!$D$642:$G$642</definedName>
    <definedName name="CHP301M">'Poliof40 - LIVROB'!$D$643:$G$643</definedName>
    <definedName name="CHP303A">'Poliof40 - LIVROB'!$D$644:$G$644</definedName>
    <definedName name="CHP303M">'Poliof40 - LIVROB'!$D$645:$G$645</definedName>
    <definedName name="CHP400A">'Poliof40 - LIVROB'!$D$646:$G$646</definedName>
    <definedName name="CHP400M">'Poliof40 - LIVROB'!$D$647:$G$647</definedName>
    <definedName name="CONJUNTOS_DE_CHIPS">'Poliof40 - LIVROB'!$AF$510:$AF$511</definedName>
    <definedName name="CPU_A_e_B">'Poliof40 - LIVROB'!$B$33:$M$33,'Poliof40 - LIVROB'!$B$35:$M$35,'Poliof40 - LIVROB'!$C$119:$N$119,'Poliof40 - LIVROB'!$C$126:$N$126</definedName>
    <definedName name="CPU_A_e_B_tudo1">'Poliof40 - LIVROB'!$30:$42</definedName>
    <definedName name="CPU_A_e_B_tudo2">'Poliof40 - LIVROB'!$114:$127</definedName>
    <definedName name="CPU_A_e_B_tudo3">'Poliof40 - LIVROB'!$359:$360</definedName>
    <definedName name="CPU_AB_Decisão">'Poliof40 - LIVROB'!$B$812:$V$813,'Poliof40 - LIVROB'!$B$830,'Poliof40 - LIVROB'!$B$832</definedName>
    <definedName name="CRP">'Poliof40 - LIVROB'!$A$294</definedName>
    <definedName name="CRP.CPUSUB">'Poliof40 - LIVROB'!$B$325:$M$327</definedName>
    <definedName name="CRP.Geral">'Poliof40 - LIVROB'!$C$299:$M$299,'Poliof40 - LIVROB'!$C$301:$M$302</definedName>
    <definedName name="CRP.INPSUB">'Poliof40 - LIVROB'!$B$319:$M$321</definedName>
    <definedName name="CRP.LinhaA">'Poliof40 - LIVROB'!$C$305:$M$305,'Poliof40 - LIVROB'!$C$307:$M$308</definedName>
    <definedName name="CRP.LinhaP">'Poliof40 - LIVROB'!$C$311:$M$311,'Poliof40 - LIVROB'!$C$313:$M$314</definedName>
    <definedName name="CRP.PCBMFG">'Poliof40 - LIVROB'!$B$333:$M$335</definedName>
    <definedName name="EscClark">'Poliof40 - LIVROB'!$G$523</definedName>
    <definedName name="EscConjuntoChip">'Poliof40 - LIVROB'!$G$520</definedName>
    <definedName name="EscFabrPCB">'Poliof40 - LIVROB'!$G$513</definedName>
    <definedName name="EscGabinete">'Poliof40 - LIVROB'!$G$518</definedName>
    <definedName name="EscImpressora">'Poliof40 - LIVROB'!$G$517</definedName>
    <definedName name="EscMontFinal">'Poliof40 - LIVROB'!$G$510</definedName>
    <definedName name="EscPlaca">'Poliof40 - LIVROB'!$G$521</definedName>
    <definedName name="EscSubmCPU">'Poliof40 - LIVROB'!$G$512</definedName>
    <definedName name="EscSubmINP">'Poliof40 - LIVROB'!$G$511</definedName>
    <definedName name="EscTransreceptorFM">'Poliof40 - LIVROB'!$G$519</definedName>
    <definedName name="FABRICACAO_PCB">'Poliof40 - LIVROB'!$AB$510:$AB$511</definedName>
    <definedName name="FabrPCB">'Poliof40 - LIVROB'!$A$847</definedName>
    <definedName name="Fornecedores">'Poliof40 - LIVROB'!$A$607</definedName>
    <definedName name="GABINETES">'Poliof40 - LIVROB'!$AD$510:$AD$511</definedName>
    <definedName name="hmax_CPU_SUB">'Poliof40 - LIVROB'!$F$324</definedName>
    <definedName name="hmax_Geral">'Poliof40 - LIVROB'!$F$298</definedName>
    <definedName name="hmax_INP_SUB">'Poliof40 - LIVROB'!$F$318</definedName>
    <definedName name="hmax_linha_A">'Poliof40 - LIVROB'!$F$304</definedName>
    <definedName name="hmax_linha_P">'Poliof40 - LIVROB'!$F$310</definedName>
    <definedName name="hmax_PCB_MFG">'Poliof40 - LIVROB'!$F$332</definedName>
    <definedName name="IMPRESSORAS">'Poliof40 - LIVROB'!$AC$510:$AC$511</definedName>
    <definedName name="INP">'Poliof40 - LIVROB'!$AB$792,'Poliof40 - LIVROB'!$AD$792,'Poliof40 - LIVROB'!$AF$792,'Poliof40 - LIVROB'!$AB$794</definedName>
    <definedName name="LinhaA">'Poliof40 - LIVROB'!$A$708</definedName>
    <definedName name="LinhaP">'Poliof40 - LIVROB'!$A$735</definedName>
    <definedName name="LinhasEspecializadas">'Poliof40 - LIVROB'!$C$719:$D$722,'Poliof40 - LIVROB'!$F$719:$G$722,'Poliof40 - LIVROB'!$I$719:$J$722,'Poliof40 - LIVROB'!$L$719:$M$722,'Poliof40 - LIVROB'!$AB$729,'Poliof40 - LIVROB'!$AD$729,'Poliof40 - LIVROB'!$AG$729,'Poliof40 - LIVROB'!$AB$731,'Poliof40 - LIVROB'!$C$747:$D$752,'Poliof40 - LIVROB'!$F$747:$G$752,'Poliof40 - LIVROB'!$I$747:$J$752,'Poliof40 - LIVROB'!$L$747:$M$752,'Poliof40 - LIVROB'!$AB$759,'Poliof40 - LIVROB'!$AB$761,'Poliof40 - LIVROB'!$AD$759,'Poliof40 - LIVROB'!$AG$759</definedName>
    <definedName name="LinhasEspecializadasTudo">'Poliof40 - LIVROB'!$704:$763</definedName>
    <definedName name="LinhaÚnica">'Poliof40 - LIVROB'!$C$683:$D$692,'Poliof40 - LIVROB'!$F$683:$G$692,'Poliof40 - LIVROB'!$I$683:$J$692,'Poliof40 - LIVROB'!$L$683:$M$692,'Poliof40 - LIVROB'!$AB$699,'Poliof40 - LIVROB'!$AD$699,'Poliof40 - LIVROB'!$AG$699,'Poliof40 - LIVROB'!$AB$701</definedName>
    <definedName name="LinhaÚnicaTudo">'Poliof40 - LIVROB'!$667:$703</definedName>
    <definedName name="LT_INP101">'Poliof40 - LIVROB'!$E$165</definedName>
    <definedName name="LT_INP103">'Poliof40 - LIVROB'!$E$173</definedName>
    <definedName name="ModeloA">'Poliof40 - LIVROB'!$C$719:$C$722,'Poliof40 - LIVROB'!$F$719:$F$722,'Poliof40 - LIVROB'!$I$719:$I$722,'Poliof40 - LIVROB'!$L$719:$L$722</definedName>
    <definedName name="ModeloAeP">'Poliof40 - LIVROB'!$C$683:$C$692,'Poliof40 - LIVROB'!$F$683:$F$692,'Poliof40 - LIVROB'!$I$683:$I$692,'Poliof40 - LIVROB'!$L$683:$L$692</definedName>
    <definedName name="ModeloCPU">'Poliof40 - LIVROB'!$C$820:$C$833,'Poliof40 - LIVROB'!$F$820:$F$833,'Poliof40 - LIVROB'!$I$820:$I$833,'Poliof40 - LIVROB'!$L$820:$L$833</definedName>
    <definedName name="ModeloINP">'Poliof40 - LIVROB'!$C$782:$C$785,'Poliof40 - LIVROB'!$F$782:$F$785,'Poliof40 - LIVROB'!$I$782:$I$785,'Poliof40 - LIVROB'!$L$782:$L$785</definedName>
    <definedName name="ModeloP">'Poliof40 - LIVROB'!$C$747:$C$752,'Poliof40 - LIVROB'!$F$747:$F$752,'Poliof40 - LIVROB'!$I$747:$I$752,'Poliof40 - LIVROB'!$L$747:$L$752</definedName>
    <definedName name="ModeloPCB">'Poliof40 - LIVROB'!$C$864:$C$871,'Poliof40 - LIVROB'!$F$864:$F$871,'Poliof40 - LIVROB'!$I$864:$I$871,'Poliof40 - LIVROB'!$L$864:$L$871</definedName>
    <definedName name="MONTAGEM_FINAL">'Poliof40 - LIVROB'!$AA$510:$AA$511</definedName>
    <definedName name="montagem_final_A">'Poliof40 - LIVROB'!$304:$306</definedName>
    <definedName name="montagem_final_geral">'Poliof40 - LIVROB'!$298:$300</definedName>
    <definedName name="montagem_final_P">'Poliof40 - LIVROB'!$310:$312</definedName>
    <definedName name="MontFinal">'Poliof40 - LIVROB'!$A$664</definedName>
    <definedName name="MPS">'Poliof40 - LIVROB'!$A$77</definedName>
    <definedName name="MRP">'Poliof40 - LIVROB'!$A$130</definedName>
    <definedName name="número_equipe">'Poliof40 - LIVROB'!$AA$505</definedName>
    <definedName name="Opção_de_Decisão">'Poliof40 - LIVROB'!$AB$620:$AB$621</definedName>
    <definedName name="Opção_Programa">'Poliof40 - LIVROB'!$AD$620</definedName>
    <definedName name="PAN100A">'Poliof40 - LIVROB'!$D$650:$G$650</definedName>
    <definedName name="PAN100M">'Poliof40 - LIVROB'!$D$651:$G$651</definedName>
    <definedName name="PLACAS">'Poliof40 - LIVROB'!$AG$510:$AG$511</definedName>
    <definedName name="PP">'Poliof40 - LIVROB'!$A$2</definedName>
    <definedName name="Previsão">'Poliof40 - LIVROB'!$A$56</definedName>
    <definedName name="Previsão.CPU.AB">'Poliof40 - LIVROB'!$I$68:$I$69</definedName>
    <definedName name="PTR200A">'Poliof40 - LIVROB'!$D$624:$G$624</definedName>
    <definedName name="PTR200M">'Poliof40 - LIVROB'!$D$625:$G$625</definedName>
    <definedName name="QuantMontFinal">'Poliof40 - LIVROB'!$D$683:$D$692,'Poliof40 - LIVROB'!$G$683:$G$692,'Poliof40 - LIVROB'!$J$683:$J$692,'Poliof40 - LIVROB'!$M$683:$M$692,'Poliof40 - LIVROB'!$D$719:$D$722,'Poliof40 - LIVROB'!$G$719:$G$722,'Poliof40 - LIVROB'!$J$719:$J$722,'Poliof40 - LIVROB'!$M$719:$M$722,'Poliof40 - LIVROB'!$D$747:$D$752,'Poliof40 - LIVROB'!$G$747:$G$752,'Poliof40 - LIVROB'!$J$747:$J$752,'Poliof40 - LIVROB'!$M$747:$M$752</definedName>
    <definedName name="QuantSubmFabr">'Poliof40 - LIVROB'!$D$782:$D$785,'Poliof40 - LIVROB'!$G$782:$G$785,'Poliof40 - LIVROB'!$J$782:$J$785,'Poliof40 - LIVROB'!$M$782:$M$785,'Poliof40 - LIVROB'!$D$820:$D$833,'Poliof40 - LIVROB'!$G$820:$G$833,'Poliof40 - LIVROB'!$J$820:$J$833,'Poliof40 - LIVROB'!$M$820:$M$833,'Poliof40 - LIVROB'!$D$864:$D$871,'Poliof40 - LIVROB'!$G$864:$G$871,'Poliof40 - LIVROB'!$J$864:$J$871,'Poliof40 - LIVROB'!$M$864:$M$871</definedName>
    <definedName name="RAD500A">'Poliof40 - LIVROB'!$D$634:$G$634</definedName>
    <definedName name="RAD500M">'Poliof40 - LIVROB'!$D$635:$G$635</definedName>
    <definedName name="SubCPU">'Poliof40 - LIVROB'!$A$799</definedName>
    <definedName name="SubINP">'Poliof40 - LIVROB'!$A$766</definedName>
    <definedName name="SUBMONTAGEM_CPU">'Poliof40 - LIVROB'!$AB$514:$AB$518</definedName>
    <definedName name="SUBMONTAGEM_INP">'Poliof40 - LIVROB'!$AA$514:$AA$516</definedName>
    <definedName name="TRANSRECEPTORES_FM">'Poliof40 - LIVROB'!$AE$510:$AE$511</definedName>
    <definedName name="ZoomDrop">'Poliof40 - LIVROB'!$AB$607:$AB$608</definedName>
    <definedName name="ZoomDrop2">'Poliof40 - LIVROB'!$AB$3:$AB$4</definedName>
  </definedNames>
  <calcPr fullCalcOnLoad="1"/>
</workbook>
</file>

<file path=xl/sharedStrings.xml><?xml version="1.0" encoding="utf-8"?>
<sst xmlns="http://schemas.openxmlformats.org/spreadsheetml/2006/main" count="1884" uniqueCount="315">
  <si>
    <t xml:space="preserve"> </t>
  </si>
  <si>
    <t>Plano de Produção (unidades) - famílias A &amp; P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</si>
  <si>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</si>
  <si>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</si>
  <si>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</si>
  <si>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</si>
  <si>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</si>
  <si>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</si>
  <si>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</si>
  <si>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</si>
  <si>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</si>
  <si>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</si>
  <si>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</si>
  <si>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</si>
  <si>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Previsão</t>
  </si>
  <si>
    <t>Pl. Estoque</t>
  </si>
  <si>
    <t>Pl. Produção</t>
  </si>
  <si>
    <t>Resumo MPS</t>
  </si>
  <si>
    <t>Est. MPS</t>
  </si>
  <si>
    <t>Prod. MPS</t>
  </si>
  <si>
    <t>Est. Inicial</t>
  </si>
  <si>
    <t>Plano de Produção (unidades) - CPU A &amp; CPU B</t>
  </si>
  <si>
    <t>Plano de Produção (milhares de dólares) - custo variável</t>
  </si>
  <si>
    <t>Resumo do MPS (milhares de dólares)</t>
  </si>
  <si>
    <t>Previsão de Demanda</t>
  </si>
  <si>
    <t>sem 1</t>
  </si>
  <si>
    <t>sem 2</t>
  </si>
  <si>
    <t>sem 3</t>
  </si>
  <si>
    <t>sem 4</t>
  </si>
  <si>
    <t>total</t>
  </si>
  <si>
    <t>fator</t>
  </si>
  <si>
    <t>Item</t>
  </si>
  <si>
    <t xml:space="preserve">fator de mix </t>
  </si>
  <si>
    <t>custo unitário variável</t>
  </si>
  <si>
    <t>A1 :</t>
  </si>
  <si>
    <t>CPUA :</t>
  </si>
  <si>
    <t>A2 :</t>
  </si>
  <si>
    <t>CPUB :</t>
  </si>
  <si>
    <t>P3 :</t>
  </si>
  <si>
    <t>TOTAL:</t>
  </si>
  <si>
    <t>P4 :</t>
  </si>
  <si>
    <t>P5 :</t>
  </si>
  <si>
    <t>Master Production Schedule (unidades)</t>
  </si>
  <si>
    <t>em mãos</t>
  </si>
  <si>
    <t>% bom</t>
  </si>
  <si>
    <t xml:space="preserve">   A1</t>
  </si>
  <si>
    <t>inicial</t>
  </si>
  <si>
    <t>sem 5</t>
  </si>
  <si>
    <t>sem 6</t>
  </si>
  <si>
    <t>sem 7</t>
  </si>
  <si>
    <t>sem 8</t>
  </si>
  <si>
    <t>sem 9</t>
  </si>
  <si>
    <t>sem 10</t>
  </si>
  <si>
    <t>sem 11</t>
  </si>
  <si>
    <t>sem 12</t>
  </si>
  <si>
    <t>Est. Proj.</t>
  </si>
  <si>
    <t>MPS</t>
  </si>
  <si>
    <t>MPS Real</t>
  </si>
  <si>
    <t xml:space="preserve">   A2</t>
  </si>
  <si>
    <t xml:space="preserve">   P3</t>
  </si>
  <si>
    <t xml:space="preserve">   P4</t>
  </si>
  <si>
    <t xml:space="preserve">   P5</t>
  </si>
  <si>
    <t>CPUA</t>
  </si>
  <si>
    <t>CPUB</t>
  </si>
  <si>
    <t>Material Requirements Plan (unidades)</t>
  </si>
  <si>
    <t xml:space="preserve">     LT:</t>
  </si>
  <si>
    <t>E.S.:</t>
  </si>
  <si>
    <t>lote mín.</t>
  </si>
  <si>
    <t xml:space="preserve">  PTR200</t>
  </si>
  <si>
    <t>atraso</t>
  </si>
  <si>
    <t>Nec. Brutas</t>
  </si>
  <si>
    <t>Rec. Progr.</t>
  </si>
  <si>
    <t>Dispon.</t>
  </si>
  <si>
    <t>Rec. OP</t>
  </si>
  <si>
    <t>Lib. OP</t>
  </si>
  <si>
    <t xml:space="preserve">  RAD500    </t>
  </si>
  <si>
    <t xml:space="preserve">  CAB600</t>
  </si>
  <si>
    <t xml:space="preserve">  CAB603   </t>
  </si>
  <si>
    <t>LT(1-4)</t>
  </si>
  <si>
    <t xml:space="preserve">  INP101</t>
  </si>
  <si>
    <t xml:space="preserve">  INP103   </t>
  </si>
  <si>
    <t xml:space="preserve">  CPU301</t>
  </si>
  <si>
    <t xml:space="preserve">  Rec. OP</t>
  </si>
  <si>
    <t xml:space="preserve">  Lib. OP</t>
  </si>
  <si>
    <t xml:space="preserve">  CPU302   </t>
  </si>
  <si>
    <t xml:space="preserve">  CPU303   </t>
  </si>
  <si>
    <t xml:space="preserve">  CPU304   </t>
  </si>
  <si>
    <t xml:space="preserve">  CPU305   </t>
  </si>
  <si>
    <t>E.S.</t>
  </si>
  <si>
    <t xml:space="preserve">  CHP100   </t>
  </si>
  <si>
    <t xml:space="preserve">  CHP101   </t>
  </si>
  <si>
    <t xml:space="preserve">  CHP301   </t>
  </si>
  <si>
    <t xml:space="preserve">  CHP303   </t>
  </si>
  <si>
    <t xml:space="preserve">  CHP400   </t>
  </si>
  <si>
    <t xml:space="preserve">  PCB101   </t>
  </si>
  <si>
    <t xml:space="preserve">  PCB103   </t>
  </si>
  <si>
    <t xml:space="preserve">  PCB301   </t>
  </si>
  <si>
    <t xml:space="preserve">  PCB303   </t>
  </si>
  <si>
    <t xml:space="preserve">  PAN100   </t>
  </si>
  <si>
    <t>Capacity Requirements Plan: Resumo (tempo de processamento)</t>
  </si>
  <si>
    <t>Montagem Final (horas de equipe)</t>
  </si>
  <si>
    <t xml:space="preserve">  GERAL</t>
  </si>
  <si>
    <t>horas de equipe:</t>
  </si>
  <si>
    <t>Carga</t>
  </si>
  <si>
    <t>LINHA A</t>
  </si>
  <si>
    <t>LINHA P</t>
  </si>
  <si>
    <t>Submontagens INPUT &amp; CPU (horas de trabalhador)</t>
  </si>
  <si>
    <t xml:space="preserve"> INP SUB</t>
  </si>
  <si>
    <t>horas de trabalhador:</t>
  </si>
  <si>
    <t xml:space="preserve"> CPU SUB</t>
  </si>
  <si>
    <t>Fabricação PCB (horas de equipe)</t>
  </si>
  <si>
    <t>PCB MFG</t>
  </si>
  <si>
    <t>Capacity Requirements Plan: Detalhes (tempo de processamento)</t>
  </si>
  <si>
    <t>MONTAGEM</t>
  </si>
  <si>
    <t>A1</t>
  </si>
  <si>
    <t>A2</t>
  </si>
  <si>
    <t>P3</t>
  </si>
  <si>
    <t>P4</t>
  </si>
  <si>
    <t>P5</t>
  </si>
  <si>
    <t xml:space="preserve">  TOTAL</t>
  </si>
  <si>
    <t>SUBM INP</t>
  </si>
  <si>
    <t xml:space="preserve">  INP103</t>
  </si>
  <si>
    <t xml:space="preserve">   TOTAL</t>
  </si>
  <si>
    <t>SUBM CPU</t>
  </si>
  <si>
    <t>CPU301</t>
  </si>
  <si>
    <t>CPU302</t>
  </si>
  <si>
    <t>CPU303</t>
  </si>
  <si>
    <t>CPU304</t>
  </si>
  <si>
    <t>CPU305</t>
  </si>
  <si>
    <t>TOTAL</t>
  </si>
  <si>
    <t>FABR PCB</t>
  </si>
  <si>
    <t>PCB101</t>
  </si>
  <si>
    <t>PCB103</t>
  </si>
  <si>
    <t>PCB301</t>
  </si>
  <si>
    <t>PCB303</t>
  </si>
  <si>
    <t>GRUPO</t>
  </si>
  <si>
    <t>Por favor, entre com suas escolhas de equipamentos e fornecedores:</t>
  </si>
  <si>
    <t>Equipamentos</t>
  </si>
  <si>
    <t xml:space="preserve">Montagem Final: </t>
  </si>
  <si>
    <t>Linha Única</t>
  </si>
  <si>
    <t>Sem mudanças</t>
  </si>
  <si>
    <t>Zen-Tec (ZT)</t>
  </si>
  <si>
    <t>Iowa Products (IP)</t>
  </si>
  <si>
    <t>General Electronics (GE)</t>
  </si>
  <si>
    <t>Charlie's Chips (CC)</t>
  </si>
  <si>
    <t>Hollywood Products (HP)</t>
  </si>
  <si>
    <t xml:space="preserve">Submontagem INP: </t>
  </si>
  <si>
    <t>Linhas A &amp; P</t>
  </si>
  <si>
    <t>Furadeira NC</t>
  </si>
  <si>
    <t>Bay Products (BP)</t>
  </si>
  <si>
    <t>Sunshine Electronics (SE)</t>
  </si>
  <si>
    <t>Seoul Products (SP)</t>
  </si>
  <si>
    <t>Taiwan, Inc. (TI)</t>
  </si>
  <si>
    <t>Hawkeye Reflector Materials (HRM)</t>
  </si>
  <si>
    <t xml:space="preserve">Submontagem CPU: </t>
  </si>
  <si>
    <t xml:space="preserve">Fabricação PCB: </t>
  </si>
  <si>
    <t>SUBMONTAGEM INP</t>
  </si>
  <si>
    <t>SUBMONTAGEM CPU</t>
  </si>
  <si>
    <t>Célula de Manufatura</t>
  </si>
  <si>
    <t>Máquina de Inserção Automática</t>
  </si>
  <si>
    <t>Terceirizado da Bravo Industries</t>
  </si>
  <si>
    <t>Fornecedores</t>
  </si>
  <si>
    <t xml:space="preserve">Impressoras: </t>
  </si>
  <si>
    <t xml:space="preserve">Gabinetes: </t>
  </si>
  <si>
    <t xml:space="preserve">Transreceptores FM: </t>
  </si>
  <si>
    <t xml:space="preserve">Conjuntos de chips: </t>
  </si>
  <si>
    <t>CLARK</t>
  </si>
  <si>
    <t xml:space="preserve">Placas: </t>
  </si>
  <si>
    <t>Aceita</t>
  </si>
  <si>
    <t>Não Aceita</t>
  </si>
  <si>
    <t>Fornecimento de submontagens à CLARK:</t>
  </si>
  <si>
    <t>Desconto percentual no preço:</t>
  </si>
  <si>
    <t>Gastos com manutenção - mês atual (US$):</t>
  </si>
  <si>
    <t xml:space="preserve">Taxa de </t>
  </si>
  <si>
    <t>Horas de</t>
  </si>
  <si>
    <t>Tempo Padrão</t>
  </si>
  <si>
    <t>manufat.</t>
  </si>
  <si>
    <t>defeitos</t>
  </si>
  <si>
    <t>setup</t>
  </si>
  <si>
    <t>Unitário (H)</t>
  </si>
  <si>
    <t>CPU A</t>
  </si>
  <si>
    <t>CPU B</t>
  </si>
  <si>
    <t>INP 101</t>
  </si>
  <si>
    <t>INP 103</t>
  </si>
  <si>
    <t>CPU 301</t>
  </si>
  <si>
    <t>CPU 302</t>
  </si>
  <si>
    <t>CPU 303</t>
  </si>
  <si>
    <t>CPU 304</t>
  </si>
  <si>
    <t>CPU 305</t>
  </si>
  <si>
    <t>PCB 101</t>
  </si>
  <si>
    <t>PCB 103</t>
  </si>
  <si>
    <t>PCB 301</t>
  </si>
  <si>
    <t>PCB 303</t>
  </si>
  <si>
    <t>Taxa de</t>
  </si>
  <si>
    <t>Lead time</t>
  </si>
  <si>
    <t>comprado</t>
  </si>
  <si>
    <t>(semanas)</t>
  </si>
  <si>
    <t>PTR 200</t>
  </si>
  <si>
    <t>RAD 500</t>
  </si>
  <si>
    <t>CAB 600</t>
  </si>
  <si>
    <t>CAB 603</t>
  </si>
  <si>
    <t>CHP 100</t>
  </si>
  <si>
    <t>CHP 101</t>
  </si>
  <si>
    <t>CHP 301</t>
  </si>
  <si>
    <t>CHP 303</t>
  </si>
  <si>
    <t>CHP 400</t>
  </si>
  <si>
    <t>PAN100</t>
  </si>
  <si>
    <t>Programação de Fornecedores</t>
  </si>
  <si>
    <t>(Semana de Liberação do Pedido)</t>
  </si>
  <si>
    <t>Se você desejar implementar, sem nenhuma alteração, o</t>
  </si>
  <si>
    <t>programa de pedidos sugerido pelo seu sistema MRP, por favor</t>
  </si>
  <si>
    <t>entre com "Automático, pelo MRP" na janela abaixo</t>
  </si>
  <si>
    <t>Se, entretanto, desejar modificar alguma das quantidades,</t>
  </si>
  <si>
    <t xml:space="preserve"> escolha "Programa Manual" no espaco abaixo, entrando com as</t>
  </si>
  <si>
    <t>novas quantidades em TODAS as linhas marcadas com "Programa"</t>
  </si>
  <si>
    <t>Opção de Decisão</t>
  </si>
  <si>
    <t>Impressoras</t>
  </si>
  <si>
    <t>SEM 1</t>
  </si>
  <si>
    <t>SEM 2</t>
  </si>
  <si>
    <t>SEM 3</t>
  </si>
  <si>
    <t>SEM 4</t>
  </si>
  <si>
    <t>SEM 5</t>
  </si>
  <si>
    <t>SEM 6</t>
  </si>
  <si>
    <t>SEM7</t>
  </si>
  <si>
    <t>SEM 8</t>
  </si>
  <si>
    <t>SEM 9</t>
  </si>
  <si>
    <t>SEM 10</t>
  </si>
  <si>
    <t>SEM 11</t>
  </si>
  <si>
    <t>SEM 12</t>
  </si>
  <si>
    <t xml:space="preserve">   PTR200</t>
  </si>
  <si>
    <t>Programa</t>
  </si>
  <si>
    <t>Gabinetes</t>
  </si>
  <si>
    <t>SEM 7</t>
  </si>
  <si>
    <t xml:space="preserve">   CAB600</t>
  </si>
  <si>
    <t xml:space="preserve">   CAB603</t>
  </si>
  <si>
    <t>CONJ FM</t>
  </si>
  <si>
    <t xml:space="preserve">   RAD500</t>
  </si>
  <si>
    <t>CONJ CHIP</t>
  </si>
  <si>
    <t xml:space="preserve">   CHP100</t>
  </si>
  <si>
    <t xml:space="preserve">   CHP101</t>
  </si>
  <si>
    <t xml:space="preserve">   CHP301</t>
  </si>
  <si>
    <t xml:space="preserve">   CHP303</t>
  </si>
  <si>
    <t xml:space="preserve">   CHP400</t>
  </si>
  <si>
    <t>PLACAS</t>
  </si>
  <si>
    <t xml:space="preserve">   PAN100</t>
  </si>
  <si>
    <t>Programa de Produção</t>
  </si>
  <si>
    <t>(data mais tarde)</t>
  </si>
  <si>
    <t>Nota:</t>
  </si>
  <si>
    <t>Todas as horas computadas no programa de produção referem-se</t>
  </si>
  <si>
    <t>a TEMPO DE PROCESSAMENTO APENAS. A capacidade requerida é</t>
  </si>
  <si>
    <t>medida em horas padrão de equipe para a Montagem Final e a</t>
  </si>
  <si>
    <t>Fabricacao PCB. Para as Submontagens de INP e CPU a capacidade</t>
  </si>
  <si>
    <t>é medida em horas padrão de trabalhador.</t>
  </si>
  <si>
    <t>Montagem Final</t>
  </si>
  <si>
    <t>Ordens sugeridas pelo MPS para a montagem final (data mais tarde)</t>
  </si>
  <si>
    <t>Programa da montagem final</t>
  </si>
  <si>
    <t>Opção UM : Linha de montagem única</t>
  </si>
  <si>
    <t>Código</t>
  </si>
  <si>
    <t>Semana 1</t>
  </si>
  <si>
    <t>Semana 2</t>
  </si>
  <si>
    <t>Semana 3</t>
  </si>
  <si>
    <t>Semana 4</t>
  </si>
  <si>
    <t>Modelo</t>
  </si>
  <si>
    <t>Quant.</t>
  </si>
  <si>
    <t>Horas acumul.</t>
  </si>
  <si>
    <t>A1 = 1</t>
  </si>
  <si>
    <t>A2 = 2</t>
  </si>
  <si>
    <t>P3 = 3</t>
  </si>
  <si>
    <t>P4 = 4</t>
  </si>
  <si>
    <t>P5 = 5</t>
  </si>
  <si>
    <t>Máximo de horas-equipe necessárias no mês:</t>
  </si>
  <si>
    <t>Pessoal Total</t>
  </si>
  <si>
    <t>Máximo Horas Extras</t>
  </si>
  <si>
    <t>Anterior</t>
  </si>
  <si>
    <t>Novo</t>
  </si>
  <si>
    <t xml:space="preserve"> horas / equipe</t>
  </si>
  <si>
    <t>Antecipa?</t>
  </si>
  <si>
    <t>Equipes:</t>
  </si>
  <si>
    <t>Turnos (0,1,2):</t>
  </si>
  <si>
    <t>Opção DOIS: linhas especializadas</t>
  </si>
  <si>
    <t>Linha - A</t>
  </si>
  <si>
    <t>Ordens liberadas pelo MPS para a montagem final (data mais tarde)</t>
  </si>
  <si>
    <t>Linha - P</t>
  </si>
  <si>
    <t>Submontagem de placas INP</t>
  </si>
  <si>
    <t>Ordens sugeridas pelo MRP para a submontagem INP</t>
  </si>
  <si>
    <t>(data mais tarde se for manufaturado; semana de liberação do pedido se subcontratado)</t>
  </si>
  <si>
    <t>Atrasado</t>
  </si>
  <si>
    <t xml:space="preserve"> INP101</t>
  </si>
  <si>
    <t xml:space="preserve"> INP103</t>
  </si>
  <si>
    <t>Programa de Submontagem INP</t>
  </si>
  <si>
    <t>Compon.</t>
  </si>
  <si>
    <t>INP101=1</t>
  </si>
  <si>
    <t>INP103=2</t>
  </si>
  <si>
    <t xml:space="preserve"> horas / trabalhador</t>
  </si>
  <si>
    <t>Trabalhadores:</t>
  </si>
  <si>
    <t>Submontagem de placas CPU</t>
  </si>
  <si>
    <t>Ordens sugeridas pelo MRP para a submontagem CPU (data mais tarde)</t>
  </si>
  <si>
    <t>Programa de Submontagem CPU</t>
  </si>
  <si>
    <t>CPU301 = 1</t>
  </si>
  <si>
    <t>CPU302 = 2</t>
  </si>
  <si>
    <t>CPU303 = 3</t>
  </si>
  <si>
    <t>CPU304 = 4</t>
  </si>
  <si>
    <t>CPU305 = 5</t>
  </si>
  <si>
    <t xml:space="preserve"> CPU A = 6</t>
  </si>
  <si>
    <t xml:space="preserve">  CPU B = 7</t>
  </si>
  <si>
    <t>Fabricação de placas PCB</t>
  </si>
  <si>
    <t>Ordens sugeridas pelo MRP para a fabricação PCB (data mais tarde)</t>
  </si>
  <si>
    <t>Programa de Fabricação PCB</t>
  </si>
  <si>
    <t>PCB101=1</t>
  </si>
  <si>
    <t>PCB103=2</t>
  </si>
  <si>
    <t>PCB301=3</t>
  </si>
  <si>
    <t>PCB303=4</t>
  </si>
  <si>
    <t>,</t>
  </si>
  <si>
    <r>
      <t>Fator de demanda semanal</t>
    </r>
    <r>
      <rPr>
        <b/>
        <sz val="10"/>
        <rFont val="Arial"/>
        <family val="2"/>
      </rPr>
      <t>: proporção da demanda do mês que ocorre na semana</t>
    </r>
  </si>
  <si>
    <r>
      <t>Fator de mix</t>
    </r>
    <r>
      <rPr>
        <b/>
        <sz val="10"/>
        <rFont val="Arial"/>
        <family val="2"/>
      </rPr>
      <t>:</t>
    </r>
    <r>
      <rPr>
        <b/>
        <sz val="10"/>
        <color indexed="10"/>
        <rFont val="Arial"/>
        <family val="0"/>
      </rPr>
      <t xml:space="preserve"> </t>
    </r>
    <r>
      <rPr>
        <b/>
        <sz val="10"/>
        <rFont val="Arial"/>
        <family val="2"/>
      </rPr>
      <t>participação da demanda do item na demanda da família de produtos</t>
    </r>
  </si>
</sst>
</file>

<file path=xl/styles.xml><?xml version="1.0" encoding="utf-8"?>
<styleSheet xmlns="http://schemas.openxmlformats.org/spreadsheetml/2006/main">
  <numFmts count="3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&quot;Cr$&quot;#,##0_);\(&quot;Cr$&quot;#,##0\)"/>
    <numFmt numFmtId="177" formatCode="&quot;Cr$&quot;#,##0_);[Red]\(&quot;Cr$&quot;#,##0\)"/>
    <numFmt numFmtId="178" formatCode="&quot;Cr$&quot;#,##0.00_);\(&quot;Cr$&quot;#,##0.00\)"/>
    <numFmt numFmtId="179" formatCode="&quot;Cr$&quot;#,##0.00_);[Red]\(&quot;Cr$&quot;#,##0.00\)"/>
    <numFmt numFmtId="180" formatCode="_(&quot;Cr$&quot;* #,##0_);_(&quot;Cr$&quot;* \(#,##0\);_(&quot;Cr$&quot;* &quot;-&quot;_);_(@_)"/>
    <numFmt numFmtId="181" formatCode="_(&quot;Cr$&quot;* #,##0.00_);_(&quot;Cr$&quot;* \(#,##0.00\);_(&quot;Cr$&quot;* &quot;-&quot;??_);_(@_)"/>
    <numFmt numFmtId="182" formatCode="&quot;R$&quot;\ #,##0_);\(&quot;R$&quot;\ #,##0\)"/>
    <numFmt numFmtId="183" formatCode="&quot;R$&quot;\ #,##0_);[Red]\(&quot;R$&quot;\ #,##0\)"/>
    <numFmt numFmtId="184" formatCode="&quot;R$&quot;\ #,##0.00_);\(&quot;R$&quot;\ #,##0.00\)"/>
    <numFmt numFmtId="185" formatCode="&quot;R$&quot;\ #,##0.00_);[Red]\(&quot;R$&quot;\ #,##0.00\)"/>
    <numFmt numFmtId="186" formatCode="_(&quot;R$&quot;\ * #,##0_);_(&quot;R$&quot;\ * \(#,##0\);_(&quot;R$&quot;\ * &quot;-&quot;_);_(@_)"/>
    <numFmt numFmtId="187" formatCode="_(&quot;R$&quot;\ * #,##0.00_);_(&quot;R$&quot;\ * \(#,##0.00\);_(&quot;R$&quot;\ * &quot;-&quot;??_);_(@_)"/>
    <numFmt numFmtId="188" formatCode="0_)"/>
    <numFmt numFmtId="189" formatCode="0.00_)"/>
    <numFmt numFmtId="190" formatCode="0.0_)"/>
    <numFmt numFmtId="191" formatCode="#,000"/>
    <numFmt numFmtId="192" formatCode="0.000_)"/>
  </numFmts>
  <fonts count="3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Courier"/>
      <family val="0"/>
    </font>
    <font>
      <b/>
      <sz val="16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b/>
      <u val="single"/>
      <sz val="10"/>
      <name val="Arial"/>
      <family val="0"/>
    </font>
    <font>
      <b/>
      <sz val="10"/>
      <color indexed="10"/>
      <name val="Arial"/>
      <family val="0"/>
    </font>
    <font>
      <b/>
      <sz val="16"/>
      <color indexed="8"/>
      <name val="Arial"/>
      <family val="0"/>
    </font>
    <font>
      <b/>
      <sz val="16"/>
      <color indexed="10"/>
      <name val="Arial"/>
      <family val="0"/>
    </font>
    <font>
      <b/>
      <sz val="12"/>
      <color indexed="8"/>
      <name val="Arial"/>
      <family val="0"/>
    </font>
    <font>
      <sz val="12"/>
      <color indexed="10"/>
      <name val="Arial"/>
      <family val="0"/>
    </font>
    <font>
      <sz val="12"/>
      <color indexed="8"/>
      <name val="Arial"/>
      <family val="0"/>
    </font>
    <font>
      <b/>
      <sz val="9"/>
      <name val="Arial"/>
      <family val="0"/>
    </font>
    <font>
      <b/>
      <sz val="7"/>
      <name val="Arial"/>
      <family val="0"/>
    </font>
    <font>
      <b/>
      <sz val="15"/>
      <name val="Arial"/>
      <family val="0"/>
    </font>
    <font>
      <sz val="10"/>
      <color indexed="12"/>
      <name val="Courier"/>
      <family val="0"/>
    </font>
    <font>
      <b/>
      <sz val="11"/>
      <name val="Arial"/>
      <family val="0"/>
    </font>
    <font>
      <b/>
      <sz val="16"/>
      <color indexed="9"/>
      <name val="Arial"/>
      <family val="0"/>
    </font>
    <font>
      <sz val="10"/>
      <color indexed="9"/>
      <name val="Arial"/>
      <family val="0"/>
    </font>
    <font>
      <b/>
      <sz val="14"/>
      <color indexed="9"/>
      <name val="Arial"/>
      <family val="0"/>
    </font>
    <font>
      <b/>
      <sz val="12"/>
      <color indexed="9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8"/>
      <color indexed="9"/>
      <name val="Arial"/>
      <family val="0"/>
    </font>
    <font>
      <b/>
      <sz val="10"/>
      <color indexed="13"/>
      <name val="Arial"/>
      <family val="0"/>
    </font>
    <font>
      <b/>
      <sz val="10"/>
      <color indexed="22"/>
      <name val="Arial"/>
      <family val="0"/>
    </font>
    <font>
      <sz val="10"/>
      <color indexed="22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446">
    <xf numFmtId="188" fontId="0" fillId="0" borderId="0" xfId="0" applyAlignment="1">
      <alignment/>
    </xf>
    <xf numFmtId="188" fontId="0" fillId="0" borderId="0" xfId="0" applyAlignment="1" applyProtection="1">
      <alignment/>
      <protection/>
    </xf>
    <xf numFmtId="188" fontId="0" fillId="0" borderId="0" xfId="0" applyAlignment="1" applyProtection="1">
      <alignment horizontal="center"/>
      <protection/>
    </xf>
    <xf numFmtId="188" fontId="0" fillId="0" borderId="0" xfId="0" applyFont="1" applyAlignment="1" applyProtection="1">
      <alignment horizontal="left"/>
      <protection/>
    </xf>
    <xf numFmtId="188" fontId="0" fillId="0" borderId="0" xfId="0" applyFont="1" applyAlignment="1" applyProtection="1">
      <alignment horizontal="center"/>
      <protection/>
    </xf>
    <xf numFmtId="188" fontId="0" fillId="0" borderId="0" xfId="0" applyFont="1" applyAlignment="1" applyProtection="1">
      <alignment/>
      <protection/>
    </xf>
    <xf numFmtId="188" fontId="0" fillId="2" borderId="0" xfId="0" applyFill="1" applyAlignment="1" applyProtection="1">
      <alignment/>
      <protection/>
    </xf>
    <xf numFmtId="188" fontId="0" fillId="2" borderId="0" xfId="0" applyFill="1" applyAlignment="1" applyProtection="1">
      <alignment horizontal="center"/>
      <protection/>
    </xf>
    <xf numFmtId="188" fontId="5" fillId="2" borderId="0" xfId="0" applyFont="1" applyFill="1" applyAlignment="1" applyProtection="1">
      <alignment/>
      <protection/>
    </xf>
    <xf numFmtId="188" fontId="6" fillId="2" borderId="0" xfId="0" applyFont="1" applyFill="1" applyAlignment="1" applyProtection="1">
      <alignment/>
      <protection/>
    </xf>
    <xf numFmtId="188" fontId="7" fillId="2" borderId="0" xfId="0" applyFont="1" applyFill="1" applyAlignment="1" applyProtection="1" quotePrefix="1">
      <alignment/>
      <protection/>
    </xf>
    <xf numFmtId="188" fontId="6" fillId="2" borderId="0" xfId="0" applyFont="1" applyFill="1" applyBorder="1" applyAlignment="1" applyProtection="1">
      <alignment/>
      <protection/>
    </xf>
    <xf numFmtId="188" fontId="7" fillId="2" borderId="0" xfId="0" applyFont="1" applyFill="1" applyBorder="1" applyAlignment="1" applyProtection="1" quotePrefix="1">
      <alignment/>
      <protection/>
    </xf>
    <xf numFmtId="188" fontId="0" fillId="3" borderId="0" xfId="0" applyFill="1" applyAlignment="1" applyProtection="1">
      <alignment/>
      <protection/>
    </xf>
    <xf numFmtId="188" fontId="0" fillId="3" borderId="1" xfId="0" applyFill="1" applyBorder="1" applyAlignment="1" applyProtection="1">
      <alignment/>
      <protection/>
    </xf>
    <xf numFmtId="188" fontId="4" fillId="2" borderId="0" xfId="0" applyFont="1" applyFill="1" applyAlignment="1" applyProtection="1">
      <alignment/>
      <protection/>
    </xf>
    <xf numFmtId="188" fontId="4" fillId="2" borderId="0" xfId="0" applyFont="1" applyFill="1" applyAlignment="1" applyProtection="1">
      <alignment horizontal="center"/>
      <protection/>
    </xf>
    <xf numFmtId="188" fontId="4" fillId="2" borderId="0" xfId="0" applyFont="1" applyFill="1" applyAlignment="1" applyProtection="1">
      <alignment horizontal="fill"/>
      <protection/>
    </xf>
    <xf numFmtId="188" fontId="4" fillId="2" borderId="0" xfId="0" applyFont="1" applyFill="1" applyAlignment="1" applyProtection="1">
      <alignment horizontal="left"/>
      <protection/>
    </xf>
    <xf numFmtId="188" fontId="4" fillId="2" borderId="0" xfId="0" applyFont="1" applyFill="1" applyAlignment="1" applyProtection="1">
      <alignment/>
      <protection/>
    </xf>
    <xf numFmtId="188" fontId="7" fillId="2" borderId="0" xfId="0" applyFont="1" applyFill="1" applyAlignment="1" applyProtection="1" quotePrefix="1">
      <alignment horizontal="centerContinuous"/>
      <protection/>
    </xf>
    <xf numFmtId="188" fontId="4" fillId="2" borderId="0" xfId="0" applyFont="1" applyFill="1" applyAlignment="1">
      <alignment horizontal="centerContinuous"/>
    </xf>
    <xf numFmtId="188" fontId="4" fillId="2" borderId="0" xfId="0" applyFont="1" applyFill="1" applyAlignment="1" applyProtection="1">
      <alignment horizontal="centerContinuous"/>
      <protection/>
    </xf>
    <xf numFmtId="188" fontId="4" fillId="2" borderId="0" xfId="0" applyFont="1" applyFill="1" applyBorder="1" applyAlignment="1" applyProtection="1">
      <alignment horizontal="centerContinuous"/>
      <protection/>
    </xf>
    <xf numFmtId="188" fontId="4" fillId="2" borderId="0" xfId="0" applyFont="1" applyFill="1" applyAlignment="1">
      <alignment/>
    </xf>
    <xf numFmtId="188" fontId="9" fillId="2" borderId="0" xfId="0" applyFont="1" applyFill="1" applyAlignment="1" applyProtection="1">
      <alignment/>
      <protection/>
    </xf>
    <xf numFmtId="188" fontId="4" fillId="2" borderId="0" xfId="0" applyFont="1" applyFill="1" applyAlignment="1" applyProtection="1">
      <alignment/>
      <protection locked="0"/>
    </xf>
    <xf numFmtId="188" fontId="9" fillId="2" borderId="0" xfId="0" applyFont="1" applyFill="1" applyAlignment="1" applyProtection="1">
      <alignment/>
      <protection/>
    </xf>
    <xf numFmtId="188" fontId="9" fillId="2" borderId="0" xfId="0" applyFont="1" applyFill="1" applyAlignment="1" applyProtection="1">
      <alignment horizontal="left"/>
      <protection/>
    </xf>
    <xf numFmtId="188" fontId="1" fillId="2" borderId="2" xfId="0" applyFont="1" applyFill="1" applyBorder="1" applyAlignment="1" applyProtection="1" quotePrefix="1">
      <alignment horizontal="center"/>
      <protection/>
    </xf>
    <xf numFmtId="188" fontId="1" fillId="2" borderId="3" xfId="0" applyFont="1" applyFill="1" applyBorder="1" applyAlignment="1" applyProtection="1" quotePrefix="1">
      <alignment horizontal="center"/>
      <protection/>
    </xf>
    <xf numFmtId="188" fontId="1" fillId="2" borderId="4" xfId="0" applyFont="1" applyFill="1" applyBorder="1" applyAlignment="1" applyProtection="1" quotePrefix="1">
      <alignment horizontal="center"/>
      <protection/>
    </xf>
    <xf numFmtId="188" fontId="1" fillId="2" borderId="5" xfId="0" applyFont="1" applyFill="1" applyBorder="1" applyAlignment="1" applyProtection="1">
      <alignment horizontal="center"/>
      <protection/>
    </xf>
    <xf numFmtId="188" fontId="1" fillId="2" borderId="2" xfId="0" applyFont="1" applyFill="1" applyBorder="1" applyAlignment="1" applyProtection="1">
      <alignment horizontal="center"/>
      <protection/>
    </xf>
    <xf numFmtId="188" fontId="11" fillId="0" borderId="6" xfId="0" applyFont="1" applyFill="1" applyBorder="1" applyAlignment="1" applyProtection="1">
      <alignment/>
      <protection locked="0"/>
    </xf>
    <xf numFmtId="188" fontId="1" fillId="2" borderId="7" xfId="0" applyFont="1" applyFill="1" applyBorder="1" applyAlignment="1" applyProtection="1">
      <alignment horizontal="center"/>
      <protection/>
    </xf>
    <xf numFmtId="188" fontId="1" fillId="2" borderId="8" xfId="0" applyFont="1" applyFill="1" applyBorder="1" applyAlignment="1" applyProtection="1">
      <alignment horizontal="center"/>
      <protection/>
    </xf>
    <xf numFmtId="188" fontId="1" fillId="2" borderId="9" xfId="0" applyFont="1" applyFill="1" applyBorder="1" applyAlignment="1" applyProtection="1">
      <alignment horizontal="center"/>
      <protection/>
    </xf>
    <xf numFmtId="188" fontId="1" fillId="2" borderId="9" xfId="0" applyFont="1" applyFill="1" applyBorder="1" applyAlignment="1" applyProtection="1" quotePrefix="1">
      <alignment horizontal="center"/>
      <protection/>
    </xf>
    <xf numFmtId="188" fontId="1" fillId="2" borderId="10" xfId="0" applyFont="1" applyFill="1" applyBorder="1" applyAlignment="1" applyProtection="1">
      <alignment horizontal="center"/>
      <protection/>
    </xf>
    <xf numFmtId="188" fontId="1" fillId="2" borderId="11" xfId="0" applyFont="1" applyFill="1" applyBorder="1" applyAlignment="1" applyProtection="1" quotePrefix="1">
      <alignment horizontal="center"/>
      <protection/>
    </xf>
    <xf numFmtId="188" fontId="1" fillId="2" borderId="12" xfId="0" applyFont="1" applyFill="1" applyBorder="1" applyAlignment="1" applyProtection="1" quotePrefix="1">
      <alignment horizontal="center"/>
      <protection/>
    </xf>
    <xf numFmtId="188" fontId="1" fillId="2" borderId="13" xfId="0" applyFont="1" applyFill="1" applyBorder="1" applyAlignment="1" applyProtection="1">
      <alignment horizontal="center"/>
      <protection/>
    </xf>
    <xf numFmtId="188" fontId="4" fillId="2" borderId="14" xfId="0" applyFont="1" applyFill="1" applyBorder="1" applyAlignment="1" applyProtection="1">
      <alignment/>
      <protection/>
    </xf>
    <xf numFmtId="188" fontId="4" fillId="2" borderId="14" xfId="0" applyFont="1" applyFill="1" applyBorder="1" applyAlignment="1" applyProtection="1">
      <alignment horizontal="center"/>
      <protection/>
    </xf>
    <xf numFmtId="188" fontId="4" fillId="2" borderId="15" xfId="0" applyFont="1" applyFill="1" applyBorder="1" applyAlignment="1" applyProtection="1">
      <alignment/>
      <protection/>
    </xf>
    <xf numFmtId="188" fontId="4" fillId="2" borderId="16" xfId="0" applyFont="1" applyFill="1" applyBorder="1" applyAlignment="1" applyProtection="1">
      <alignment horizontal="center"/>
      <protection/>
    </xf>
    <xf numFmtId="188" fontId="4" fillId="2" borderId="17" xfId="0" applyFont="1" applyFill="1" applyBorder="1" applyAlignment="1" applyProtection="1">
      <alignment horizontal="center"/>
      <protection/>
    </xf>
    <xf numFmtId="188" fontId="1" fillId="2" borderId="18" xfId="0" applyFont="1" applyFill="1" applyBorder="1" applyAlignment="1" applyProtection="1">
      <alignment horizontal="center"/>
      <protection/>
    </xf>
    <xf numFmtId="188" fontId="4" fillId="2" borderId="19" xfId="0" applyFont="1" applyFill="1" applyBorder="1" applyAlignment="1" applyProtection="1">
      <alignment/>
      <protection/>
    </xf>
    <xf numFmtId="188" fontId="4" fillId="2" borderId="19" xfId="0" applyFont="1" applyFill="1" applyBorder="1" applyAlignment="1" applyProtection="1">
      <alignment horizontal="center"/>
      <protection/>
    </xf>
    <xf numFmtId="188" fontId="4" fillId="2" borderId="20" xfId="0" applyFont="1" applyFill="1" applyBorder="1" applyAlignment="1" applyProtection="1">
      <alignment/>
      <protection/>
    </xf>
    <xf numFmtId="188" fontId="4" fillId="2" borderId="21" xfId="0" applyFont="1" applyFill="1" applyBorder="1" applyAlignment="1" applyProtection="1">
      <alignment horizontal="center"/>
      <protection/>
    </xf>
    <xf numFmtId="188" fontId="4" fillId="2" borderId="22" xfId="0" applyFont="1" applyFill="1" applyBorder="1" applyAlignment="1" applyProtection="1">
      <alignment horizontal="center"/>
      <protection/>
    </xf>
    <xf numFmtId="188" fontId="1" fillId="2" borderId="0" xfId="0" applyFont="1" applyFill="1" applyAlignment="1" applyProtection="1" quotePrefix="1">
      <alignment horizontal="left"/>
      <protection/>
    </xf>
    <xf numFmtId="188" fontId="1" fillId="2" borderId="23" xfId="0" applyFont="1" applyFill="1" applyBorder="1" applyAlignment="1" applyProtection="1" quotePrefix="1">
      <alignment horizontal="center"/>
      <protection/>
    </xf>
    <xf numFmtId="188" fontId="1" fillId="2" borderId="24" xfId="0" applyFont="1" applyFill="1" applyBorder="1" applyAlignment="1" applyProtection="1">
      <alignment horizontal="centerContinuous"/>
      <protection/>
    </xf>
    <xf numFmtId="188" fontId="1" fillId="2" borderId="9" xfId="0" applyFont="1" applyFill="1" applyBorder="1" applyAlignment="1" applyProtection="1" quotePrefix="1">
      <alignment horizontal="centerContinuous"/>
      <protection/>
    </xf>
    <xf numFmtId="188" fontId="1" fillId="2" borderId="25" xfId="0" applyFont="1" applyFill="1" applyBorder="1" applyAlignment="1" applyProtection="1">
      <alignment horizontal="centerContinuous"/>
      <protection/>
    </xf>
    <xf numFmtId="188" fontId="1" fillId="2" borderId="9" xfId="0" applyFont="1" applyFill="1" applyBorder="1" applyAlignment="1" applyProtection="1">
      <alignment horizontal="centerContinuous"/>
      <protection/>
    </xf>
    <xf numFmtId="188" fontId="4" fillId="2" borderId="25" xfId="0" applyFont="1" applyFill="1" applyBorder="1" applyAlignment="1" applyProtection="1">
      <alignment horizontal="centerContinuous"/>
      <protection/>
    </xf>
    <xf numFmtId="188" fontId="1" fillId="2" borderId="26" xfId="0" applyFont="1" applyFill="1" applyBorder="1" applyAlignment="1" applyProtection="1">
      <alignment horizontal="center"/>
      <protection/>
    </xf>
    <xf numFmtId="188" fontId="4" fillId="2" borderId="27" xfId="0" applyFont="1" applyFill="1" applyBorder="1" applyAlignment="1" applyProtection="1">
      <alignment horizontal="center"/>
      <protection/>
    </xf>
    <xf numFmtId="188" fontId="1" fillId="2" borderId="26" xfId="0" applyFont="1" applyFill="1" applyBorder="1" applyAlignment="1" applyProtection="1" quotePrefix="1">
      <alignment horizontal="center"/>
      <protection/>
    </xf>
    <xf numFmtId="188" fontId="1" fillId="2" borderId="26" xfId="0" applyFont="1" applyFill="1" applyBorder="1" applyAlignment="1" applyProtection="1">
      <alignment/>
      <protection/>
    </xf>
    <xf numFmtId="188" fontId="1" fillId="2" borderId="18" xfId="0" applyFont="1" applyFill="1" applyBorder="1" applyAlignment="1" applyProtection="1">
      <alignment/>
      <protection/>
    </xf>
    <xf numFmtId="188" fontId="4" fillId="2" borderId="8" xfId="0" applyFont="1" applyFill="1" applyBorder="1" applyAlignment="1" applyProtection="1">
      <alignment horizontal="center"/>
      <protection/>
    </xf>
    <xf numFmtId="188" fontId="4" fillId="2" borderId="28" xfId="0" applyFont="1" applyFill="1" applyBorder="1" applyAlignment="1" applyProtection="1">
      <alignment/>
      <protection/>
    </xf>
    <xf numFmtId="188" fontId="4" fillId="2" borderId="29" xfId="0" applyFont="1" applyFill="1" applyBorder="1" applyAlignment="1" applyProtection="1">
      <alignment/>
      <protection/>
    </xf>
    <xf numFmtId="188" fontId="4" fillId="2" borderId="30" xfId="0" applyFont="1" applyFill="1" applyBorder="1" applyAlignment="1" applyProtection="1">
      <alignment/>
      <protection/>
    </xf>
    <xf numFmtId="188" fontId="4" fillId="2" borderId="31" xfId="0" applyFont="1" applyFill="1" applyBorder="1" applyAlignment="1" applyProtection="1">
      <alignment/>
      <protection/>
    </xf>
    <xf numFmtId="188" fontId="4" fillId="2" borderId="0" xfId="0" applyFont="1" applyFill="1" applyBorder="1" applyAlignment="1" applyProtection="1">
      <alignment horizontal="center"/>
      <protection/>
    </xf>
    <xf numFmtId="188" fontId="4" fillId="2" borderId="0" xfId="0" applyFont="1" applyFill="1" applyBorder="1" applyAlignment="1" applyProtection="1">
      <alignment/>
      <protection/>
    </xf>
    <xf numFmtId="188" fontId="4" fillId="2" borderId="27" xfId="0" applyFont="1" applyFill="1" applyBorder="1" applyAlignment="1" applyProtection="1">
      <alignment/>
      <protection/>
    </xf>
    <xf numFmtId="188" fontId="4" fillId="2" borderId="0" xfId="0" applyFont="1" applyFill="1" applyBorder="1" applyAlignment="1" applyProtection="1">
      <alignment horizontal="fill"/>
      <protection/>
    </xf>
    <xf numFmtId="188" fontId="4" fillId="2" borderId="27" xfId="0" applyFont="1" applyFill="1" applyBorder="1" applyAlignment="1" applyProtection="1">
      <alignment horizontal="left"/>
      <protection/>
    </xf>
    <xf numFmtId="188" fontId="4" fillId="2" borderId="32" xfId="0" applyFont="1" applyFill="1" applyBorder="1" applyAlignment="1" applyProtection="1">
      <alignment/>
      <protection/>
    </xf>
    <xf numFmtId="188" fontId="4" fillId="2" borderId="19" xfId="0" applyFont="1" applyFill="1" applyBorder="1" applyAlignment="1" applyProtection="1">
      <alignment horizontal="fill"/>
      <protection/>
    </xf>
    <xf numFmtId="188" fontId="4" fillId="2" borderId="8" xfId="0" applyFont="1" applyFill="1" applyBorder="1" applyAlignment="1" applyProtection="1">
      <alignment/>
      <protection/>
    </xf>
    <xf numFmtId="188" fontId="4" fillId="2" borderId="15" xfId="0" applyFont="1" applyFill="1" applyBorder="1" applyAlignment="1" applyProtection="1">
      <alignment horizontal="center"/>
      <protection/>
    </xf>
    <xf numFmtId="188" fontId="4" fillId="2" borderId="20" xfId="0" applyFont="1" applyFill="1" applyBorder="1" applyAlignment="1" applyProtection="1">
      <alignment horizontal="center"/>
      <protection/>
    </xf>
    <xf numFmtId="188" fontId="4" fillId="2" borderId="33" xfId="0" applyFont="1" applyFill="1" applyBorder="1" applyAlignment="1" applyProtection="1">
      <alignment horizontal="center"/>
      <protection/>
    </xf>
    <xf numFmtId="188" fontId="1" fillId="2" borderId="34" xfId="0" applyFont="1" applyFill="1" applyBorder="1" applyAlignment="1" applyProtection="1">
      <alignment horizontal="center"/>
      <protection/>
    </xf>
    <xf numFmtId="188" fontId="4" fillId="2" borderId="35" xfId="0" applyFont="1" applyFill="1" applyBorder="1" applyAlignment="1" applyProtection="1">
      <alignment horizontal="center"/>
      <protection/>
    </xf>
    <xf numFmtId="188" fontId="4" fillId="2" borderId="36" xfId="0" applyFont="1" applyFill="1" applyBorder="1" applyAlignment="1" applyProtection="1">
      <alignment horizontal="center"/>
      <protection/>
    </xf>
    <xf numFmtId="188" fontId="4" fillId="2" borderId="37" xfId="0" applyFont="1" applyFill="1" applyBorder="1" applyAlignment="1" applyProtection="1">
      <alignment horizontal="center"/>
      <protection/>
    </xf>
    <xf numFmtId="188" fontId="1" fillId="2" borderId="10" xfId="0" applyFont="1" applyFill="1" applyBorder="1" applyAlignment="1" applyProtection="1">
      <alignment horizontal="centerContinuous"/>
      <protection/>
    </xf>
    <xf numFmtId="188" fontId="1" fillId="2" borderId="34" xfId="0" applyFont="1" applyFill="1" applyBorder="1" applyAlignment="1" applyProtection="1">
      <alignment horizontal="left"/>
      <protection/>
    </xf>
    <xf numFmtId="188" fontId="10" fillId="2" borderId="36" xfId="0" applyFont="1" applyFill="1" applyBorder="1" applyAlignment="1" applyProtection="1">
      <alignment horizontal="center"/>
      <protection/>
    </xf>
    <xf numFmtId="188" fontId="10" fillId="2" borderId="35" xfId="0" applyFont="1" applyFill="1" applyBorder="1" applyAlignment="1" applyProtection="1">
      <alignment horizontal="centerContinuous"/>
      <protection/>
    </xf>
    <xf numFmtId="188" fontId="4" fillId="2" borderId="36" xfId="0" applyFont="1" applyFill="1" applyBorder="1" applyAlignment="1" applyProtection="1">
      <alignment horizontal="centerContinuous"/>
      <protection/>
    </xf>
    <xf numFmtId="188" fontId="10" fillId="2" borderId="35" xfId="0" applyFont="1" applyFill="1" applyBorder="1" applyAlignment="1" applyProtection="1">
      <alignment horizontal="center"/>
      <protection/>
    </xf>
    <xf numFmtId="188" fontId="10" fillId="2" borderId="37" xfId="0" applyFont="1" applyFill="1" applyBorder="1" applyAlignment="1" applyProtection="1">
      <alignment horizontal="center"/>
      <protection/>
    </xf>
    <xf numFmtId="188" fontId="1" fillId="2" borderId="18" xfId="0" applyFont="1" applyFill="1" applyBorder="1" applyAlignment="1" applyProtection="1">
      <alignment horizontal="left"/>
      <protection/>
    </xf>
    <xf numFmtId="188" fontId="10" fillId="2" borderId="20" xfId="0" applyFont="1" applyFill="1" applyBorder="1" applyAlignment="1" applyProtection="1">
      <alignment horizontal="center"/>
      <protection/>
    </xf>
    <xf numFmtId="188" fontId="10" fillId="2" borderId="19" xfId="0" applyFont="1" applyFill="1" applyBorder="1" applyAlignment="1" applyProtection="1">
      <alignment horizontal="centerContinuous"/>
      <protection/>
    </xf>
    <xf numFmtId="188" fontId="4" fillId="2" borderId="20" xfId="0" applyFont="1" applyFill="1" applyBorder="1" applyAlignment="1" applyProtection="1">
      <alignment horizontal="centerContinuous"/>
      <protection/>
    </xf>
    <xf numFmtId="188" fontId="10" fillId="2" borderId="19" xfId="0" applyFont="1" applyFill="1" applyBorder="1" applyAlignment="1" applyProtection="1">
      <alignment horizontal="center"/>
      <protection/>
    </xf>
    <xf numFmtId="188" fontId="10" fillId="2" borderId="8" xfId="0" applyFont="1" applyFill="1" applyBorder="1" applyAlignment="1" applyProtection="1">
      <alignment horizontal="center"/>
      <protection/>
    </xf>
    <xf numFmtId="188" fontId="10" fillId="2" borderId="15" xfId="0" applyFont="1" applyFill="1" applyBorder="1" applyAlignment="1" applyProtection="1">
      <alignment horizontal="center"/>
      <protection/>
    </xf>
    <xf numFmtId="188" fontId="10" fillId="2" borderId="14" xfId="0" applyFont="1" applyFill="1" applyBorder="1" applyAlignment="1" applyProtection="1">
      <alignment horizontal="centerContinuous"/>
      <protection/>
    </xf>
    <xf numFmtId="188" fontId="4" fillId="2" borderId="15" xfId="0" applyFont="1" applyFill="1" applyBorder="1" applyAlignment="1" applyProtection="1">
      <alignment horizontal="centerContinuous"/>
      <protection/>
    </xf>
    <xf numFmtId="188" fontId="10" fillId="2" borderId="14" xfId="0" applyFont="1" applyFill="1" applyBorder="1" applyAlignment="1" applyProtection="1">
      <alignment horizontal="center"/>
      <protection/>
    </xf>
    <xf numFmtId="188" fontId="4" fillId="2" borderId="0" xfId="0" applyNumberFormat="1" applyFont="1" applyFill="1" applyAlignment="1" applyProtection="1">
      <alignment/>
      <protection/>
    </xf>
    <xf numFmtId="188" fontId="4" fillId="3" borderId="0" xfId="0" applyFont="1" applyFill="1" applyAlignment="1">
      <alignment/>
    </xf>
    <xf numFmtId="188" fontId="4" fillId="4" borderId="0" xfId="0" applyFont="1" applyFill="1" applyBorder="1" applyAlignment="1" applyProtection="1">
      <alignment horizontal="fill"/>
      <protection/>
    </xf>
    <xf numFmtId="1" fontId="11" fillId="0" borderId="6" xfId="17" applyNumberFormat="1" applyFont="1" applyFill="1" applyBorder="1" applyAlignment="1" applyProtection="1">
      <alignment horizontal="center" vertical="center"/>
      <protection/>
    </xf>
    <xf numFmtId="188" fontId="4" fillId="5" borderId="38" xfId="0" applyFont="1" applyFill="1" applyBorder="1" applyAlignment="1" applyProtection="1">
      <alignment horizontal="centerContinuous" vertical="center" wrapText="1"/>
      <protection/>
    </xf>
    <xf numFmtId="188" fontId="4" fillId="2" borderId="0" xfId="0" applyFont="1" applyFill="1" applyAlignment="1">
      <alignment/>
    </xf>
    <xf numFmtId="188" fontId="4" fillId="2" borderId="0" xfId="0" applyFont="1" applyFill="1" applyAlignment="1" applyProtection="1" quotePrefix="1">
      <alignment horizontal="left"/>
      <protection/>
    </xf>
    <xf numFmtId="189" fontId="4" fillId="2" borderId="0" xfId="0" applyNumberFormat="1" applyFont="1" applyFill="1" applyAlignment="1" applyProtection="1">
      <alignment horizontal="center"/>
      <protection/>
    </xf>
    <xf numFmtId="188" fontId="4" fillId="2" borderId="0" xfId="0" applyFont="1" applyFill="1" applyBorder="1" applyAlignment="1">
      <alignment/>
    </xf>
    <xf numFmtId="188" fontId="1" fillId="2" borderId="0" xfId="0" applyFont="1" applyFill="1" applyAlignment="1" applyProtection="1" quotePrefix="1">
      <alignment horizontal="left"/>
      <protection/>
    </xf>
    <xf numFmtId="188" fontId="1" fillId="2" borderId="0" xfId="0" applyFont="1" applyFill="1" applyAlignment="1" applyProtection="1">
      <alignment horizontal="left"/>
      <protection/>
    </xf>
    <xf numFmtId="188" fontId="0" fillId="2" borderId="0" xfId="0" applyFill="1" applyAlignment="1">
      <alignment/>
    </xf>
    <xf numFmtId="188" fontId="4" fillId="2" borderId="1" xfId="0" applyFont="1" applyFill="1" applyBorder="1" applyAlignment="1" applyProtection="1">
      <alignment horizontal="fill"/>
      <protection/>
    </xf>
    <xf numFmtId="188" fontId="4" fillId="2" borderId="1" xfId="0" applyFont="1" applyFill="1" applyBorder="1" applyAlignment="1">
      <alignment/>
    </xf>
    <xf numFmtId="188" fontId="4" fillId="2" borderId="39" xfId="0" applyFont="1" applyFill="1" applyBorder="1" applyAlignment="1" applyProtection="1">
      <alignment horizontal="center"/>
      <protection/>
    </xf>
    <xf numFmtId="188" fontId="6" fillId="2" borderId="0" xfId="0" applyFont="1" applyFill="1" applyAlignment="1" applyProtection="1" quotePrefix="1">
      <alignment horizontal="left"/>
      <protection/>
    </xf>
    <xf numFmtId="188" fontId="11" fillId="0" borderId="6" xfId="0" applyFont="1" applyFill="1" applyBorder="1" applyAlignment="1" applyProtection="1">
      <alignment horizontal="center"/>
      <protection locked="0"/>
    </xf>
    <xf numFmtId="188" fontId="1" fillId="2" borderId="40" xfId="0" applyFont="1" applyFill="1" applyBorder="1" applyAlignment="1" applyProtection="1">
      <alignment horizontal="center"/>
      <protection/>
    </xf>
    <xf numFmtId="188" fontId="4" fillId="2" borderId="41" xfId="0" applyFont="1" applyFill="1" applyBorder="1" applyAlignment="1">
      <alignment/>
    </xf>
    <xf numFmtId="188" fontId="4" fillId="3" borderId="0" xfId="0" applyFont="1" applyFill="1" applyAlignment="1" applyProtection="1">
      <alignment/>
      <protection/>
    </xf>
    <xf numFmtId="188" fontId="4" fillId="2" borderId="41" xfId="0" applyFont="1" applyFill="1" applyBorder="1" applyAlignment="1" applyProtection="1">
      <alignment/>
      <protection/>
    </xf>
    <xf numFmtId="188" fontId="4" fillId="4" borderId="0" xfId="0" applyFont="1" applyFill="1" applyBorder="1" applyAlignment="1" applyProtection="1">
      <alignment/>
      <protection/>
    </xf>
    <xf numFmtId="188" fontId="12" fillId="4" borderId="0" xfId="0" applyFont="1" applyFill="1" applyBorder="1" applyAlignment="1" applyProtection="1">
      <alignment horizontal="left" vertical="top"/>
      <protection/>
    </xf>
    <xf numFmtId="188" fontId="4" fillId="4" borderId="0" xfId="0" applyFont="1" applyFill="1" applyBorder="1" applyAlignment="1" applyProtection="1" quotePrefix="1">
      <alignment horizontal="left" vertical="top"/>
      <protection/>
    </xf>
    <xf numFmtId="188" fontId="4" fillId="4" borderId="0" xfId="0" applyFont="1" applyFill="1" applyBorder="1" applyAlignment="1" applyProtection="1">
      <alignment vertical="top"/>
      <protection/>
    </xf>
    <xf numFmtId="188" fontId="1" fillId="4" borderId="0" xfId="0" applyFont="1" applyFill="1" applyBorder="1" applyAlignment="1" applyProtection="1" quotePrefix="1">
      <alignment horizontal="right" vertical="center"/>
      <protection/>
    </xf>
    <xf numFmtId="188" fontId="4" fillId="4" borderId="0" xfId="0" applyFont="1" applyFill="1" applyBorder="1" applyAlignment="1" applyProtection="1">
      <alignment horizontal="left" vertical="top"/>
      <protection/>
    </xf>
    <xf numFmtId="188" fontId="1" fillId="4" borderId="0" xfId="0" applyFont="1" applyFill="1" applyBorder="1" applyAlignment="1" applyProtection="1">
      <alignment/>
      <protection/>
    </xf>
    <xf numFmtId="188" fontId="4" fillId="4" borderId="0" xfId="0" applyFont="1" applyFill="1" applyBorder="1" applyAlignment="1" applyProtection="1">
      <alignment horizontal="left"/>
      <protection/>
    </xf>
    <xf numFmtId="188" fontId="1" fillId="4" borderId="0" xfId="0" applyFont="1" applyFill="1" applyBorder="1" applyAlignment="1" applyProtection="1" quotePrefix="1">
      <alignment horizontal="right"/>
      <protection/>
    </xf>
    <xf numFmtId="188" fontId="4" fillId="4" borderId="0" xfId="0" applyFont="1" applyFill="1" applyBorder="1" applyAlignment="1" applyProtection="1">
      <alignment horizontal="centerContinuous"/>
      <protection/>
    </xf>
    <xf numFmtId="188" fontId="4" fillId="2" borderId="0" xfId="0" applyFont="1" applyFill="1" applyBorder="1" applyAlignment="1" applyProtection="1">
      <alignment horizontal="left"/>
      <protection/>
    </xf>
    <xf numFmtId="188" fontId="4" fillId="4" borderId="42" xfId="0" applyFont="1" applyFill="1" applyBorder="1" applyAlignment="1" applyProtection="1">
      <alignment/>
      <protection/>
    </xf>
    <xf numFmtId="188" fontId="4" fillId="4" borderId="43" xfId="0" applyFont="1" applyFill="1" applyBorder="1" applyAlignment="1" applyProtection="1">
      <alignment/>
      <protection/>
    </xf>
    <xf numFmtId="188" fontId="4" fillId="4" borderId="44" xfId="0" applyFont="1" applyFill="1" applyBorder="1" applyAlignment="1" applyProtection="1">
      <alignment/>
      <protection/>
    </xf>
    <xf numFmtId="188" fontId="4" fillId="4" borderId="40" xfId="0" applyFont="1" applyFill="1" applyBorder="1" applyAlignment="1" applyProtection="1">
      <alignment horizontal="left"/>
      <protection/>
    </xf>
    <xf numFmtId="188" fontId="4" fillId="4" borderId="16" xfId="0" applyFont="1" applyFill="1" applyBorder="1" applyAlignment="1" applyProtection="1">
      <alignment/>
      <protection/>
    </xf>
    <xf numFmtId="188" fontId="4" fillId="4" borderId="14" xfId="0" applyFont="1" applyFill="1" applyBorder="1" applyAlignment="1" applyProtection="1">
      <alignment/>
      <protection/>
    </xf>
    <xf numFmtId="188" fontId="4" fillId="4" borderId="15" xfId="0" applyFont="1" applyFill="1" applyBorder="1" applyAlignment="1" applyProtection="1">
      <alignment/>
      <protection/>
    </xf>
    <xf numFmtId="188" fontId="4" fillId="2" borderId="45" xfId="0" applyFont="1" applyFill="1" applyBorder="1" applyAlignment="1" applyProtection="1">
      <alignment/>
      <protection/>
    </xf>
    <xf numFmtId="188" fontId="4" fillId="2" borderId="41" xfId="0" applyFont="1" applyFill="1" applyBorder="1" applyAlignment="1" applyProtection="1">
      <alignment horizontal="left"/>
      <protection/>
    </xf>
    <xf numFmtId="188" fontId="1" fillId="4" borderId="46" xfId="0" applyFont="1" applyFill="1" applyBorder="1" applyAlignment="1" applyProtection="1">
      <alignment horizontal="left"/>
      <protection/>
    </xf>
    <xf numFmtId="188" fontId="4" fillId="4" borderId="42" xfId="0" applyFont="1" applyFill="1" applyBorder="1" applyAlignment="1" applyProtection="1">
      <alignment horizontal="left"/>
      <protection/>
    </xf>
    <xf numFmtId="188" fontId="4" fillId="4" borderId="40" xfId="0" applyFont="1" applyFill="1" applyBorder="1" applyAlignment="1" applyProtection="1">
      <alignment/>
      <protection/>
    </xf>
    <xf numFmtId="188" fontId="4" fillId="4" borderId="16" xfId="0" applyFont="1" applyFill="1" applyBorder="1" applyAlignment="1" applyProtection="1">
      <alignment horizontal="left"/>
      <protection/>
    </xf>
    <xf numFmtId="188" fontId="4" fillId="4" borderId="46" xfId="0" applyFont="1" applyFill="1" applyBorder="1" applyAlignment="1" applyProtection="1">
      <alignment horizontal="left"/>
      <protection/>
    </xf>
    <xf numFmtId="188" fontId="4" fillId="4" borderId="42" xfId="0" applyFont="1" applyFill="1" applyBorder="1" applyAlignment="1" applyProtection="1">
      <alignment horizontal="fill"/>
      <protection/>
    </xf>
    <xf numFmtId="188" fontId="4" fillId="4" borderId="16" xfId="0" applyFont="1" applyFill="1" applyBorder="1" applyAlignment="1" applyProtection="1">
      <alignment horizontal="fill"/>
      <protection/>
    </xf>
    <xf numFmtId="188" fontId="4" fillId="4" borderId="14" xfId="0" applyFont="1" applyFill="1" applyBorder="1" applyAlignment="1" applyProtection="1">
      <alignment horizontal="fill"/>
      <protection/>
    </xf>
    <xf numFmtId="188" fontId="4" fillId="4" borderId="15" xfId="0" applyFont="1" applyFill="1" applyBorder="1" applyAlignment="1" applyProtection="1">
      <alignment horizontal="fill"/>
      <protection/>
    </xf>
    <xf numFmtId="188" fontId="4" fillId="4" borderId="46" xfId="0" applyFont="1" applyFill="1" applyBorder="1" applyAlignment="1" applyProtection="1">
      <alignment/>
      <protection/>
    </xf>
    <xf numFmtId="188" fontId="1" fillId="2" borderId="0" xfId="0" applyFont="1" applyFill="1" applyBorder="1" applyAlignment="1" applyProtection="1">
      <alignment horizontal="left"/>
      <protection/>
    </xf>
    <xf numFmtId="188" fontId="8" fillId="2" borderId="0" xfId="0" applyFont="1" applyFill="1" applyAlignment="1" applyProtection="1" quotePrefix="1">
      <alignment horizontal="left"/>
      <protection/>
    </xf>
    <xf numFmtId="188" fontId="1" fillId="4" borderId="0" xfId="0" applyFont="1" applyFill="1" applyBorder="1" applyAlignment="1" applyProtection="1">
      <alignment horizontal="right" vertical="center"/>
      <protection/>
    </xf>
    <xf numFmtId="188" fontId="4" fillId="4" borderId="14" xfId="0" applyFont="1" applyFill="1" applyBorder="1" applyAlignment="1" applyProtection="1">
      <alignment vertical="top"/>
      <protection/>
    </xf>
    <xf numFmtId="188" fontId="4" fillId="4" borderId="14" xfId="0" applyFont="1" applyFill="1" applyBorder="1" applyAlignment="1" applyProtection="1">
      <alignment horizontal="right" vertical="top"/>
      <protection/>
    </xf>
    <xf numFmtId="188" fontId="4" fillId="2" borderId="14" xfId="0" applyFont="1" applyFill="1" applyBorder="1" applyAlignment="1" applyProtection="1">
      <alignment vertical="top"/>
      <protection/>
    </xf>
    <xf numFmtId="188" fontId="4" fillId="2" borderId="14" xfId="0" applyFont="1" applyFill="1" applyBorder="1" applyAlignment="1" applyProtection="1">
      <alignment horizontal="right" vertical="top"/>
      <protection/>
    </xf>
    <xf numFmtId="188" fontId="8" fillId="2" borderId="0" xfId="0" applyFont="1" applyFill="1" applyBorder="1" applyAlignment="1" applyProtection="1" quotePrefix="1">
      <alignment horizontal="left"/>
      <protection/>
    </xf>
    <xf numFmtId="188" fontId="12" fillId="4" borderId="0" xfId="0" applyFont="1" applyFill="1" applyBorder="1" applyAlignment="1" applyProtection="1" quotePrefix="1">
      <alignment horizontal="left" vertical="top"/>
      <protection/>
    </xf>
    <xf numFmtId="188" fontId="15" fillId="2" borderId="0" xfId="0" applyFont="1" applyFill="1" applyAlignment="1" applyProtection="1" quotePrefix="1">
      <alignment horizontal="left"/>
      <protection/>
    </xf>
    <xf numFmtId="188" fontId="15" fillId="2" borderId="0" xfId="0" applyFont="1" applyFill="1" applyAlignment="1" applyProtection="1" quotePrefix="1">
      <alignment horizontal="centerContinuous"/>
      <protection/>
    </xf>
    <xf numFmtId="188" fontId="1" fillId="2" borderId="2" xfId="0" applyFont="1" applyFill="1" applyBorder="1" applyAlignment="1" applyProtection="1">
      <alignment horizontal="center"/>
      <protection/>
    </xf>
    <xf numFmtId="188" fontId="13" fillId="5" borderId="38" xfId="0" applyFont="1" applyFill="1" applyBorder="1" applyAlignment="1" applyProtection="1">
      <alignment horizontal="centerContinuous" vertical="center" wrapText="1"/>
      <protection/>
    </xf>
    <xf numFmtId="188" fontId="1" fillId="2" borderId="5" xfId="0" applyFont="1" applyFill="1" applyBorder="1" applyAlignment="1" applyProtection="1">
      <alignment horizontal="center"/>
      <protection/>
    </xf>
    <xf numFmtId="188" fontId="1" fillId="2" borderId="7" xfId="0" applyFont="1" applyFill="1" applyBorder="1" applyAlignment="1" applyProtection="1">
      <alignment horizontal="center"/>
      <protection/>
    </xf>
    <xf numFmtId="188" fontId="1" fillId="2" borderId="3" xfId="0" applyFont="1" applyFill="1" applyBorder="1" applyAlignment="1" applyProtection="1" quotePrefix="1">
      <alignment horizontal="center"/>
      <protection/>
    </xf>
    <xf numFmtId="188" fontId="1" fillId="2" borderId="4" xfId="0" applyFont="1" applyFill="1" applyBorder="1" applyAlignment="1" applyProtection="1" quotePrefix="1">
      <alignment horizontal="center"/>
      <protection/>
    </xf>
    <xf numFmtId="188" fontId="9" fillId="2" borderId="0" xfId="0" applyFont="1" applyFill="1" applyAlignment="1" applyProtection="1">
      <alignment horizontal="center"/>
      <protection/>
    </xf>
    <xf numFmtId="188" fontId="8" fillId="2" borderId="0" xfId="0" applyFont="1" applyFill="1" applyAlignment="1" applyProtection="1" quotePrefix="1">
      <alignment horizontal="centerContinuous"/>
      <protection/>
    </xf>
    <xf numFmtId="188" fontId="1" fillId="2" borderId="0" xfId="0" applyFont="1" applyFill="1" applyAlignment="1" applyProtection="1" quotePrefix="1">
      <alignment horizontal="center"/>
      <protection/>
    </xf>
    <xf numFmtId="188" fontId="4" fillId="2" borderId="45" xfId="0" applyFont="1" applyFill="1" applyBorder="1" applyAlignment="1" applyProtection="1">
      <alignment horizontal="fill"/>
      <protection/>
    </xf>
    <xf numFmtId="188" fontId="0" fillId="2" borderId="45" xfId="0" applyFill="1" applyBorder="1" applyAlignment="1" applyProtection="1">
      <alignment/>
      <protection/>
    </xf>
    <xf numFmtId="188" fontId="9" fillId="2" borderId="0" xfId="0" applyFont="1" applyFill="1" applyAlignment="1" applyProtection="1">
      <alignment horizontal="centerContinuous"/>
      <protection/>
    </xf>
    <xf numFmtId="188" fontId="5" fillId="2" borderId="0" xfId="0" applyFont="1" applyFill="1" applyAlignment="1" applyProtection="1">
      <alignment/>
      <protection/>
    </xf>
    <xf numFmtId="188" fontId="9" fillId="2" borderId="0" xfId="0" applyFont="1" applyFill="1" applyAlignment="1" applyProtection="1">
      <alignment horizontal="fill"/>
      <protection/>
    </xf>
    <xf numFmtId="188" fontId="17" fillId="2" borderId="0" xfId="0" applyFont="1" applyFill="1" applyAlignment="1" applyProtection="1">
      <alignment horizontal="centerContinuous"/>
      <protection/>
    </xf>
    <xf numFmtId="188" fontId="5" fillId="2" borderId="0" xfId="0" applyFont="1" applyFill="1" applyAlignment="1">
      <alignment/>
    </xf>
    <xf numFmtId="188" fontId="5" fillId="2" borderId="0" xfId="0" applyFont="1" applyFill="1" applyAlignment="1">
      <alignment horizontal="left"/>
    </xf>
    <xf numFmtId="188" fontId="10" fillId="2" borderId="0" xfId="0" applyFont="1" applyFill="1" applyBorder="1" applyAlignment="1" applyProtection="1">
      <alignment/>
      <protection locked="0"/>
    </xf>
    <xf numFmtId="9" fontId="4" fillId="2" borderId="0" xfId="17" applyFont="1" applyFill="1" applyAlignment="1" applyProtection="1">
      <alignment/>
      <protection/>
    </xf>
    <xf numFmtId="9" fontId="4" fillId="2" borderId="0" xfId="17" applyFont="1" applyFill="1" applyAlignment="1">
      <alignment/>
    </xf>
    <xf numFmtId="188" fontId="4" fillId="3" borderId="0" xfId="0" applyFont="1" applyFill="1" applyAlignment="1" applyProtection="1">
      <alignment/>
      <protection locked="0"/>
    </xf>
    <xf numFmtId="188" fontId="11" fillId="0" borderId="6" xfId="0" applyFont="1" applyFill="1" applyBorder="1" applyAlignment="1" applyProtection="1">
      <alignment horizontal="center"/>
      <protection/>
    </xf>
    <xf numFmtId="188" fontId="4" fillId="2" borderId="6" xfId="0" applyFont="1" applyFill="1" applyBorder="1" applyAlignment="1" applyProtection="1">
      <alignment horizontal="center"/>
      <protection/>
    </xf>
    <xf numFmtId="188" fontId="4" fillId="2" borderId="0" xfId="0" applyFont="1" applyFill="1" applyBorder="1" applyAlignment="1" applyProtection="1" quotePrefix="1">
      <alignment horizontal="center"/>
      <protection/>
    </xf>
    <xf numFmtId="188" fontId="1" fillId="2" borderId="29" xfId="0" applyFont="1" applyFill="1" applyBorder="1" applyAlignment="1" applyProtection="1">
      <alignment horizontal="centerContinuous"/>
      <protection/>
    </xf>
    <xf numFmtId="188" fontId="1" fillId="2" borderId="0" xfId="0" applyFont="1" applyFill="1" applyBorder="1" applyAlignment="1" applyProtection="1">
      <alignment horizontal="centerContinuous"/>
      <protection/>
    </xf>
    <xf numFmtId="188" fontId="1" fillId="2" borderId="29" xfId="0" applyFont="1" applyFill="1" applyBorder="1" applyAlignment="1" applyProtection="1">
      <alignment horizontal="center"/>
      <protection/>
    </xf>
    <xf numFmtId="188" fontId="1" fillId="2" borderId="0" xfId="0" applyFont="1" applyFill="1" applyBorder="1" applyAlignment="1" applyProtection="1">
      <alignment horizontal="left"/>
      <protection/>
    </xf>
    <xf numFmtId="188" fontId="1" fillId="2" borderId="31" xfId="0" applyFont="1" applyFill="1" applyBorder="1" applyAlignment="1" applyProtection="1" quotePrefix="1">
      <alignment horizontal="center"/>
      <protection/>
    </xf>
    <xf numFmtId="188" fontId="1" fillId="2" borderId="28" xfId="0" applyFont="1" applyFill="1" applyBorder="1" applyAlignment="1" applyProtection="1">
      <alignment/>
      <protection/>
    </xf>
    <xf numFmtId="188" fontId="1" fillId="2" borderId="31" xfId="0" applyFont="1" applyFill="1" applyBorder="1" applyAlignment="1" applyProtection="1">
      <alignment/>
      <protection/>
    </xf>
    <xf numFmtId="188" fontId="1" fillId="2" borderId="31" xfId="0" applyFont="1" applyFill="1" applyBorder="1" applyAlignment="1" applyProtection="1">
      <alignment horizontal="center"/>
      <protection/>
    </xf>
    <xf numFmtId="188" fontId="1" fillId="2" borderId="32" xfId="0" applyFont="1" applyFill="1" applyBorder="1" applyAlignment="1" applyProtection="1">
      <alignment/>
      <protection/>
    </xf>
    <xf numFmtId="188" fontId="1" fillId="2" borderId="30" xfId="0" applyFont="1" applyFill="1" applyBorder="1" applyAlignment="1" applyProtection="1">
      <alignment/>
      <protection/>
    </xf>
    <xf numFmtId="188" fontId="1" fillId="2" borderId="27" xfId="0" applyFont="1" applyFill="1" applyBorder="1" applyAlignment="1" applyProtection="1">
      <alignment/>
      <protection/>
    </xf>
    <xf numFmtId="188" fontId="1" fillId="2" borderId="28" xfId="0" applyFont="1" applyFill="1" applyBorder="1" applyAlignment="1" applyProtection="1">
      <alignment horizontal="center"/>
      <protection/>
    </xf>
    <xf numFmtId="188" fontId="1" fillId="2" borderId="32" xfId="0" applyFont="1" applyFill="1" applyBorder="1" applyAlignment="1" applyProtection="1">
      <alignment horizontal="center"/>
      <protection/>
    </xf>
    <xf numFmtId="188" fontId="10" fillId="2" borderId="6" xfId="0" applyFont="1" applyFill="1" applyBorder="1" applyAlignment="1" applyProtection="1">
      <alignment horizontal="center"/>
      <protection/>
    </xf>
    <xf numFmtId="188" fontId="10" fillId="2" borderId="47" xfId="0" applyFont="1" applyFill="1" applyBorder="1" applyAlignment="1" applyProtection="1">
      <alignment horizontal="center"/>
      <protection/>
    </xf>
    <xf numFmtId="188" fontId="11" fillId="0" borderId="48" xfId="0" applyFont="1" applyFill="1" applyBorder="1" applyAlignment="1" applyProtection="1">
      <alignment horizontal="center"/>
      <protection locked="0"/>
    </xf>
    <xf numFmtId="188" fontId="4" fillId="2" borderId="48" xfId="0" applyFont="1" applyFill="1" applyBorder="1" applyAlignment="1" applyProtection="1">
      <alignment horizontal="center"/>
      <protection/>
    </xf>
    <xf numFmtId="188" fontId="4" fillId="2" borderId="49" xfId="0" applyFont="1" applyFill="1" applyBorder="1" applyAlignment="1" applyProtection="1">
      <alignment horizontal="center"/>
      <protection/>
    </xf>
    <xf numFmtId="188" fontId="4" fillId="2" borderId="47" xfId="0" applyFont="1" applyFill="1" applyBorder="1" applyAlignment="1" applyProtection="1">
      <alignment horizontal="center"/>
      <protection/>
    </xf>
    <xf numFmtId="188" fontId="11" fillId="2" borderId="0" xfId="0" applyFont="1" applyFill="1" applyBorder="1" applyAlignment="1" applyProtection="1">
      <alignment horizontal="center"/>
      <protection/>
    </xf>
    <xf numFmtId="188" fontId="8" fillId="2" borderId="0" xfId="0" applyFont="1" applyFill="1" applyAlignment="1" applyProtection="1">
      <alignment horizontal="centerContinuous"/>
      <protection/>
    </xf>
    <xf numFmtId="188" fontId="1" fillId="2" borderId="0" xfId="0" applyFont="1" applyFill="1" applyBorder="1" applyAlignment="1" applyProtection="1">
      <alignment horizontal="center"/>
      <protection/>
    </xf>
    <xf numFmtId="188" fontId="0" fillId="2" borderId="0" xfId="0" applyFill="1" applyBorder="1" applyAlignment="1">
      <alignment/>
    </xf>
    <xf numFmtId="188" fontId="10" fillId="4" borderId="6" xfId="0" applyFont="1" applyFill="1" applyBorder="1" applyAlignment="1" applyProtection="1">
      <alignment horizontal="centerContinuous"/>
      <protection/>
    </xf>
    <xf numFmtId="188" fontId="13" fillId="5" borderId="50" xfId="0" applyFont="1" applyFill="1" applyBorder="1" applyAlignment="1" applyProtection="1">
      <alignment horizontal="centerContinuous" vertical="center" wrapText="1"/>
      <protection/>
    </xf>
    <xf numFmtId="188" fontId="9" fillId="2" borderId="0" xfId="0" applyFont="1" applyFill="1" applyAlignment="1" applyProtection="1">
      <alignment/>
      <protection locked="0"/>
    </xf>
    <xf numFmtId="188" fontId="1" fillId="2" borderId="51" xfId="0" applyFont="1" applyFill="1" applyBorder="1" applyAlignment="1" applyProtection="1">
      <alignment horizontal="center"/>
      <protection/>
    </xf>
    <xf numFmtId="188" fontId="1" fillId="2" borderId="52" xfId="0" applyFont="1" applyFill="1" applyBorder="1" applyAlignment="1" applyProtection="1" quotePrefix="1">
      <alignment horizontal="center"/>
      <protection/>
    </xf>
    <xf numFmtId="188" fontId="1" fillId="2" borderId="36" xfId="0" applyFont="1" applyFill="1" applyBorder="1" applyAlignment="1" applyProtection="1">
      <alignment horizontal="center"/>
      <protection/>
    </xf>
    <xf numFmtId="188" fontId="1" fillId="2" borderId="51" xfId="0" applyFont="1" applyFill="1" applyBorder="1" applyAlignment="1" applyProtection="1" quotePrefix="1">
      <alignment horizontal="center"/>
      <protection/>
    </xf>
    <xf numFmtId="188" fontId="1" fillId="2" borderId="52" xfId="0" applyFont="1" applyFill="1" applyBorder="1" applyAlignment="1" applyProtection="1">
      <alignment horizontal="center"/>
      <protection/>
    </xf>
    <xf numFmtId="188" fontId="1" fillId="2" borderId="51" xfId="0" applyFont="1" applyFill="1" applyBorder="1" applyAlignment="1" applyProtection="1">
      <alignment horizontal="center"/>
      <protection/>
    </xf>
    <xf numFmtId="188" fontId="1" fillId="2" borderId="52" xfId="0" applyFont="1" applyFill="1" applyBorder="1" applyAlignment="1" applyProtection="1">
      <alignment horizontal="center"/>
      <protection/>
    </xf>
    <xf numFmtId="188" fontId="4" fillId="2" borderId="53" xfId="0" applyFont="1" applyFill="1" applyBorder="1" applyAlignment="1" applyProtection="1">
      <alignment/>
      <protection/>
    </xf>
    <xf numFmtId="188" fontId="4" fillId="2" borderId="53" xfId="0" applyFont="1" applyFill="1" applyBorder="1" applyAlignment="1" applyProtection="1">
      <alignment horizontal="fill"/>
      <protection/>
    </xf>
    <xf numFmtId="188" fontId="4" fillId="2" borderId="54" xfId="0" applyFont="1" applyFill="1" applyBorder="1" applyAlignment="1" applyProtection="1">
      <alignment/>
      <protection/>
    </xf>
    <xf numFmtId="188" fontId="4" fillId="2" borderId="53" xfId="0" applyFont="1" applyFill="1" applyBorder="1" applyAlignment="1" applyProtection="1">
      <alignment horizontal="center"/>
      <protection/>
    </xf>
    <xf numFmtId="188" fontId="4" fillId="2" borderId="53" xfId="0" applyFont="1" applyFill="1" applyBorder="1" applyAlignment="1">
      <alignment/>
    </xf>
    <xf numFmtId="188" fontId="4" fillId="2" borderId="55" xfId="0" applyFont="1" applyFill="1" applyBorder="1" applyAlignment="1">
      <alignment/>
    </xf>
    <xf numFmtId="188" fontId="21" fillId="0" borderId="56" xfId="0" applyFont="1" applyFill="1" applyBorder="1" applyAlignment="1">
      <alignment horizontal="centerContinuous"/>
    </xf>
    <xf numFmtId="188" fontId="0" fillId="0" borderId="57" xfId="0" applyFill="1" applyBorder="1" applyAlignment="1">
      <alignment horizontal="centerContinuous"/>
    </xf>
    <xf numFmtId="188" fontId="4" fillId="0" borderId="51" xfId="0" applyFont="1" applyFill="1" applyBorder="1" applyAlignment="1" applyProtection="1">
      <alignment horizontal="centerContinuous"/>
      <protection/>
    </xf>
    <xf numFmtId="188" fontId="0" fillId="0" borderId="57" xfId="0" applyBorder="1" applyAlignment="1">
      <alignment horizontal="centerContinuous"/>
    </xf>
    <xf numFmtId="188" fontId="0" fillId="2" borderId="41" xfId="0" applyFill="1" applyBorder="1" applyAlignment="1" applyProtection="1">
      <alignment/>
      <protection/>
    </xf>
    <xf numFmtId="188" fontId="9" fillId="2" borderId="53" xfId="0" applyFont="1" applyFill="1" applyBorder="1" applyAlignment="1" applyProtection="1">
      <alignment/>
      <protection/>
    </xf>
    <xf numFmtId="188" fontId="4" fillId="2" borderId="58" xfId="0" applyFont="1" applyFill="1" applyBorder="1" applyAlignment="1" applyProtection="1">
      <alignment/>
      <protection/>
    </xf>
    <xf numFmtId="188" fontId="0" fillId="3" borderId="55" xfId="0" applyFill="1" applyBorder="1" applyAlignment="1" applyProtection="1">
      <alignment/>
      <protection/>
    </xf>
    <xf numFmtId="188" fontId="0" fillId="3" borderId="53" xfId="0" applyFill="1" applyBorder="1" applyAlignment="1" applyProtection="1">
      <alignment/>
      <protection/>
    </xf>
    <xf numFmtId="188" fontId="0" fillId="2" borderId="53" xfId="0" applyFill="1" applyBorder="1" applyAlignment="1" applyProtection="1">
      <alignment/>
      <protection/>
    </xf>
    <xf numFmtId="188" fontId="4" fillId="2" borderId="33" xfId="0" applyFont="1" applyFill="1" applyBorder="1" applyAlignment="1" applyProtection="1">
      <alignment horizontal="center" vertical="center" wrapText="1"/>
      <protection/>
    </xf>
    <xf numFmtId="188" fontId="1" fillId="2" borderId="0" xfId="0" applyFont="1" applyFill="1" applyBorder="1" applyAlignment="1" applyProtection="1" quotePrefix="1">
      <alignment horizontal="center"/>
      <protection/>
    </xf>
    <xf numFmtId="188" fontId="22" fillId="0" borderId="6" xfId="0" applyFont="1" applyBorder="1" applyAlignment="1">
      <alignment horizontal="center"/>
    </xf>
    <xf numFmtId="188" fontId="1" fillId="2" borderId="31" xfId="0" applyFont="1" applyFill="1" applyBorder="1" applyAlignment="1" applyProtection="1">
      <alignment horizontal="right"/>
      <protection/>
    </xf>
    <xf numFmtId="188" fontId="1" fillId="2" borderId="31" xfId="0" applyFont="1" applyFill="1" applyBorder="1" applyAlignment="1" applyProtection="1" quotePrefix="1">
      <alignment horizontal="right"/>
      <protection/>
    </xf>
    <xf numFmtId="188" fontId="4" fillId="4" borderId="42" xfId="0" applyFont="1" applyFill="1" applyBorder="1" applyAlignment="1" applyProtection="1">
      <alignment vertical="top"/>
      <protection/>
    </xf>
    <xf numFmtId="188" fontId="4" fillId="4" borderId="42" xfId="0" applyFont="1" applyFill="1" applyBorder="1" applyAlignment="1" applyProtection="1">
      <alignment horizontal="right" vertical="top"/>
      <protection/>
    </xf>
    <xf numFmtId="188" fontId="11" fillId="2" borderId="0" xfId="0" applyFont="1" applyFill="1" applyAlignment="1" applyProtection="1">
      <alignment/>
      <protection locked="0"/>
    </xf>
    <xf numFmtId="189" fontId="10" fillId="4" borderId="6" xfId="0" applyNumberFormat="1" applyFont="1" applyFill="1" applyBorder="1" applyAlignment="1" applyProtection="1">
      <alignment horizontal="center"/>
      <protection/>
    </xf>
    <xf numFmtId="188" fontId="23" fillId="0" borderId="6" xfId="0" applyFont="1" applyFill="1" applyBorder="1" applyAlignment="1" applyProtection="1">
      <alignment horizontal="center" vertical="center"/>
      <protection/>
    </xf>
    <xf numFmtId="188" fontId="8" fillId="4" borderId="56" xfId="0" applyFont="1" applyFill="1" applyBorder="1" applyAlignment="1" applyProtection="1">
      <alignment horizontal="center" vertical="center"/>
      <protection/>
    </xf>
    <xf numFmtId="188" fontId="8" fillId="2" borderId="0" xfId="0" applyFont="1" applyFill="1" applyBorder="1" applyAlignment="1" applyProtection="1">
      <alignment horizontal="center" vertical="center"/>
      <protection/>
    </xf>
    <xf numFmtId="188" fontId="23" fillId="2" borderId="0" xfId="0" applyFont="1" applyFill="1" applyBorder="1" applyAlignment="1" applyProtection="1">
      <alignment horizontal="center" vertical="center"/>
      <protection/>
    </xf>
    <xf numFmtId="188" fontId="4" fillId="2" borderId="0" xfId="0" applyFont="1" applyFill="1" applyAlignment="1" applyProtection="1">
      <alignment wrapText="1"/>
      <protection locked="0"/>
    </xf>
    <xf numFmtId="188" fontId="24" fillId="6" borderId="46" xfId="0" applyFont="1" applyFill="1" applyBorder="1" applyAlignment="1" applyProtection="1">
      <alignment horizontal="centerContinuous"/>
      <protection/>
    </xf>
    <xf numFmtId="188" fontId="25" fillId="6" borderId="42" xfId="0" applyFont="1" applyFill="1" applyBorder="1" applyAlignment="1" applyProtection="1">
      <alignment horizontal="centerContinuous"/>
      <protection/>
    </xf>
    <xf numFmtId="188" fontId="25" fillId="6" borderId="43" xfId="0" applyFont="1" applyFill="1" applyBorder="1" applyAlignment="1" applyProtection="1">
      <alignment horizontal="centerContinuous"/>
      <protection/>
    </xf>
    <xf numFmtId="188" fontId="26" fillId="6" borderId="16" xfId="0" applyFont="1" applyFill="1" applyBorder="1" applyAlignment="1" applyProtection="1" quotePrefix="1">
      <alignment horizontal="centerContinuous"/>
      <protection/>
    </xf>
    <xf numFmtId="188" fontId="25" fillId="6" borderId="14" xfId="0" applyFont="1" applyFill="1" applyBorder="1" applyAlignment="1" applyProtection="1">
      <alignment horizontal="centerContinuous"/>
      <protection/>
    </xf>
    <xf numFmtId="188" fontId="25" fillId="6" borderId="15" xfId="0" applyFont="1" applyFill="1" applyBorder="1" applyAlignment="1" applyProtection="1">
      <alignment horizontal="centerContinuous"/>
      <protection/>
    </xf>
    <xf numFmtId="188" fontId="25" fillId="6" borderId="46" xfId="0" applyFont="1" applyFill="1" applyBorder="1" applyAlignment="1" applyProtection="1">
      <alignment horizontal="centerContinuous"/>
      <protection/>
    </xf>
    <xf numFmtId="188" fontId="25" fillId="6" borderId="16" xfId="0" applyFont="1" applyFill="1" applyBorder="1" applyAlignment="1" applyProtection="1">
      <alignment horizontal="centerContinuous"/>
      <protection/>
    </xf>
    <xf numFmtId="188" fontId="18" fillId="2" borderId="0" xfId="0" applyFont="1" applyFill="1" applyBorder="1" applyAlignment="1" applyProtection="1" quotePrefix="1">
      <alignment horizontal="left"/>
      <protection/>
    </xf>
    <xf numFmtId="188" fontId="10" fillId="2" borderId="0" xfId="0" applyFont="1" applyFill="1" applyBorder="1" applyAlignment="1" applyProtection="1">
      <alignment/>
      <protection/>
    </xf>
    <xf numFmtId="188" fontId="16" fillId="2" borderId="0" xfId="0" applyFont="1" applyFill="1" applyBorder="1" applyAlignment="1" applyProtection="1">
      <alignment horizontal="center"/>
      <protection/>
    </xf>
    <xf numFmtId="188" fontId="10" fillId="2" borderId="0" xfId="0" applyFont="1" applyFill="1" applyBorder="1" applyAlignment="1" applyProtection="1">
      <alignment horizontal="center"/>
      <protection/>
    </xf>
    <xf numFmtId="188" fontId="10" fillId="2" borderId="0" xfId="0" applyFont="1" applyFill="1" applyBorder="1" applyAlignment="1" applyProtection="1">
      <alignment horizontal="centerContinuous"/>
      <protection/>
    </xf>
    <xf numFmtId="188" fontId="18" fillId="2" borderId="0" xfId="0" applyFont="1" applyFill="1" applyBorder="1" applyAlignment="1" applyProtection="1">
      <alignment horizontal="centerContinuous"/>
      <protection/>
    </xf>
    <xf numFmtId="188" fontId="27" fillId="7" borderId="56" xfId="0" applyFont="1" applyFill="1" applyBorder="1" applyAlignment="1" applyProtection="1">
      <alignment horizontal="left"/>
      <protection/>
    </xf>
    <xf numFmtId="188" fontId="26" fillId="7" borderId="57" xfId="0" applyFont="1" applyFill="1" applyBorder="1" applyAlignment="1" applyProtection="1">
      <alignment horizontal="centerContinuous"/>
      <protection/>
    </xf>
    <xf numFmtId="188" fontId="25" fillId="7" borderId="57" xfId="0" applyFont="1" applyFill="1" applyBorder="1" applyAlignment="1" applyProtection="1">
      <alignment horizontal="centerContinuous"/>
      <protection/>
    </xf>
    <xf numFmtId="188" fontId="25" fillId="7" borderId="51" xfId="0" applyFont="1" applyFill="1" applyBorder="1" applyAlignment="1" applyProtection="1">
      <alignment/>
      <protection/>
    </xf>
    <xf numFmtId="188" fontId="26" fillId="7" borderId="56" xfId="0" applyFont="1" applyFill="1" applyBorder="1" applyAlignment="1" applyProtection="1" quotePrefix="1">
      <alignment horizontal="centerContinuous"/>
      <protection/>
    </xf>
    <xf numFmtId="188" fontId="25" fillId="7" borderId="51" xfId="0" applyFont="1" applyFill="1" applyBorder="1" applyAlignment="1" applyProtection="1">
      <alignment horizontal="centerContinuous"/>
      <protection/>
    </xf>
    <xf numFmtId="188" fontId="25" fillId="8" borderId="46" xfId="0" applyFont="1" applyFill="1" applyBorder="1" applyAlignment="1" applyProtection="1">
      <alignment/>
      <protection/>
    </xf>
    <xf numFmtId="188" fontId="25" fillId="8" borderId="42" xfId="0" applyFont="1" applyFill="1" applyBorder="1" applyAlignment="1" applyProtection="1">
      <alignment/>
      <protection/>
    </xf>
    <xf numFmtId="188" fontId="25" fillId="8" borderId="43" xfId="0" applyFont="1" applyFill="1" applyBorder="1" applyAlignment="1" applyProtection="1">
      <alignment/>
      <protection/>
    </xf>
    <xf numFmtId="188" fontId="25" fillId="8" borderId="40" xfId="0" applyFont="1" applyFill="1" applyBorder="1" applyAlignment="1" applyProtection="1">
      <alignment/>
      <protection/>
    </xf>
    <xf numFmtId="188" fontId="28" fillId="8" borderId="0" xfId="0" applyFont="1" applyFill="1" applyBorder="1" applyAlignment="1" applyProtection="1">
      <alignment horizontal="center"/>
      <protection/>
    </xf>
    <xf numFmtId="188" fontId="28" fillId="8" borderId="0" xfId="0" applyFont="1" applyFill="1" applyBorder="1" applyAlignment="1" applyProtection="1">
      <alignment horizontal="centerContinuous"/>
      <protection/>
    </xf>
    <xf numFmtId="188" fontId="25" fillId="8" borderId="0" xfId="0" applyFont="1" applyFill="1" applyBorder="1" applyAlignment="1" applyProtection="1">
      <alignment horizontal="centerContinuous"/>
      <protection/>
    </xf>
    <xf numFmtId="188" fontId="25" fillId="8" borderId="44" xfId="0" applyFont="1" applyFill="1" applyBorder="1" applyAlignment="1" applyProtection="1">
      <alignment/>
      <protection/>
    </xf>
    <xf numFmtId="188" fontId="28" fillId="8" borderId="0" xfId="0" applyFont="1" applyFill="1" applyBorder="1" applyAlignment="1" applyProtection="1" quotePrefix="1">
      <alignment horizontal="center"/>
      <protection/>
    </xf>
    <xf numFmtId="188" fontId="25" fillId="8" borderId="0" xfId="0" applyFont="1" applyFill="1" applyBorder="1" applyAlignment="1" applyProtection="1">
      <alignment horizontal="center"/>
      <protection/>
    </xf>
    <xf numFmtId="188" fontId="25" fillId="8" borderId="0" xfId="0" applyFont="1" applyFill="1" applyBorder="1" applyAlignment="1" applyProtection="1">
      <alignment/>
      <protection/>
    </xf>
    <xf numFmtId="188" fontId="25" fillId="8" borderId="40" xfId="0" applyFont="1" applyFill="1" applyBorder="1" applyAlignment="1" applyProtection="1">
      <alignment horizontal="left"/>
      <protection/>
    </xf>
    <xf numFmtId="188" fontId="25" fillId="8" borderId="16" xfId="0" applyFont="1" applyFill="1" applyBorder="1" applyAlignment="1" applyProtection="1">
      <alignment horizontal="left"/>
      <protection/>
    </xf>
    <xf numFmtId="188" fontId="25" fillId="8" borderId="14" xfId="0" applyFont="1" applyFill="1" applyBorder="1" applyAlignment="1" applyProtection="1">
      <alignment horizontal="center"/>
      <protection/>
    </xf>
    <xf numFmtId="188" fontId="25" fillId="8" borderId="14" xfId="0" applyFont="1" applyFill="1" applyBorder="1" applyAlignment="1" applyProtection="1">
      <alignment/>
      <protection/>
    </xf>
    <xf numFmtId="188" fontId="25" fillId="8" borderId="15" xfId="0" applyFont="1" applyFill="1" applyBorder="1" applyAlignment="1" applyProtection="1">
      <alignment/>
      <protection/>
    </xf>
    <xf numFmtId="188" fontId="29" fillId="4" borderId="6" xfId="0" applyFont="1" applyFill="1" applyBorder="1" applyAlignment="1" applyProtection="1">
      <alignment horizontal="center"/>
      <protection/>
    </xf>
    <xf numFmtId="189" fontId="10" fillId="4" borderId="6" xfId="0" applyNumberFormat="1" applyFont="1" applyFill="1" applyBorder="1" applyAlignment="1" applyProtection="1">
      <alignment horizontal="centerContinuous"/>
      <protection/>
    </xf>
    <xf numFmtId="188" fontId="10" fillId="8" borderId="46" xfId="0" applyFont="1" applyFill="1" applyBorder="1" applyAlignment="1" applyProtection="1">
      <alignment/>
      <protection/>
    </xf>
    <xf numFmtId="188" fontId="10" fillId="8" borderId="42" xfId="0" applyFont="1" applyFill="1" applyBorder="1" applyAlignment="1" applyProtection="1">
      <alignment/>
      <protection/>
    </xf>
    <xf numFmtId="188" fontId="10" fillId="8" borderId="43" xfId="0" applyFont="1" applyFill="1" applyBorder="1" applyAlignment="1" applyProtection="1">
      <alignment/>
      <protection/>
    </xf>
    <xf numFmtId="188" fontId="10" fillId="8" borderId="40" xfId="0" applyFont="1" applyFill="1" applyBorder="1" applyAlignment="1" applyProtection="1">
      <alignment/>
      <protection/>
    </xf>
    <xf numFmtId="188" fontId="29" fillId="8" borderId="0" xfId="0" applyFont="1" applyFill="1" applyBorder="1" applyAlignment="1" applyProtection="1">
      <alignment horizontal="center"/>
      <protection/>
    </xf>
    <xf numFmtId="188" fontId="10" fillId="8" borderId="0" xfId="0" applyFont="1" applyFill="1" applyBorder="1" applyAlignment="1" applyProtection="1">
      <alignment horizontal="centerContinuous"/>
      <protection/>
    </xf>
    <xf numFmtId="188" fontId="10" fillId="8" borderId="44" xfId="0" applyFont="1" applyFill="1" applyBorder="1" applyAlignment="1" applyProtection="1">
      <alignment/>
      <protection/>
    </xf>
    <xf numFmtId="188" fontId="10" fillId="8" borderId="0" xfId="0" applyFont="1" applyFill="1" applyBorder="1" applyAlignment="1" applyProtection="1">
      <alignment horizontal="center"/>
      <protection/>
    </xf>
    <xf numFmtId="188" fontId="10" fillId="8" borderId="0" xfId="0" applyFont="1" applyFill="1" applyBorder="1" applyAlignment="1" applyProtection="1">
      <alignment/>
      <protection/>
    </xf>
    <xf numFmtId="188" fontId="10" fillId="8" borderId="16" xfId="0" applyFont="1" applyFill="1" applyBorder="1" applyAlignment="1" applyProtection="1">
      <alignment/>
      <protection/>
    </xf>
    <xf numFmtId="188" fontId="10" fillId="8" borderId="14" xfId="0" applyFont="1" applyFill="1" applyBorder="1" applyAlignment="1" applyProtection="1">
      <alignment horizontal="center"/>
      <protection/>
    </xf>
    <xf numFmtId="188" fontId="10" fillId="8" borderId="14" xfId="0" applyFont="1" applyFill="1" applyBorder="1" applyAlignment="1" applyProtection="1">
      <alignment/>
      <protection/>
    </xf>
    <xf numFmtId="188" fontId="10" fillId="8" borderId="15" xfId="0" applyFont="1" applyFill="1" applyBorder="1" applyAlignment="1" applyProtection="1">
      <alignment/>
      <protection/>
    </xf>
    <xf numFmtId="188" fontId="10" fillId="8" borderId="46" xfId="0" applyFont="1" applyFill="1" applyBorder="1" applyAlignment="1" applyProtection="1">
      <alignment horizontal="center"/>
      <protection/>
    </xf>
    <xf numFmtId="188" fontId="10" fillId="8" borderId="42" xfId="0" applyFont="1" applyFill="1" applyBorder="1" applyAlignment="1" applyProtection="1">
      <alignment horizontal="center"/>
      <protection/>
    </xf>
    <xf numFmtId="188" fontId="10" fillId="8" borderId="43" xfId="0" applyFont="1" applyFill="1" applyBorder="1" applyAlignment="1" applyProtection="1">
      <alignment horizontal="center"/>
      <protection/>
    </xf>
    <xf numFmtId="188" fontId="10" fillId="8" borderId="40" xfId="0" applyFont="1" applyFill="1" applyBorder="1" applyAlignment="1" applyProtection="1">
      <alignment horizontal="center"/>
      <protection/>
    </xf>
    <xf numFmtId="188" fontId="10" fillId="8" borderId="44" xfId="0" applyFont="1" applyFill="1" applyBorder="1" applyAlignment="1" applyProtection="1">
      <alignment horizontal="center"/>
      <protection/>
    </xf>
    <xf numFmtId="188" fontId="10" fillId="8" borderId="16" xfId="0" applyFont="1" applyFill="1" applyBorder="1" applyAlignment="1" applyProtection="1">
      <alignment horizontal="center"/>
      <protection/>
    </xf>
    <xf numFmtId="189" fontId="10" fillId="8" borderId="14" xfId="0" applyNumberFormat="1" applyFont="1" applyFill="1" applyBorder="1" applyAlignment="1" applyProtection="1">
      <alignment horizontal="center"/>
      <protection/>
    </xf>
    <xf numFmtId="188" fontId="10" fillId="8" borderId="15" xfId="0" applyFont="1" applyFill="1" applyBorder="1" applyAlignment="1" applyProtection="1">
      <alignment horizontal="center"/>
      <protection/>
    </xf>
    <xf numFmtId="188" fontId="10" fillId="4" borderId="6" xfId="0" applyFont="1" applyFill="1" applyBorder="1" applyAlignment="1" applyProtection="1">
      <alignment horizontal="center"/>
      <protection/>
    </xf>
    <xf numFmtId="188" fontId="29" fillId="4" borderId="6" xfId="0" applyFont="1" applyFill="1" applyBorder="1" applyAlignment="1" applyProtection="1">
      <alignment horizontal="center"/>
      <protection/>
    </xf>
    <xf numFmtId="188" fontId="29" fillId="4" borderId="6" xfId="0" applyFont="1" applyFill="1" applyBorder="1" applyAlignment="1" applyProtection="1" quotePrefix="1">
      <alignment horizontal="center"/>
      <protection/>
    </xf>
    <xf numFmtId="188" fontId="14" fillId="0" borderId="59" xfId="0" applyFont="1" applyFill="1" applyBorder="1" applyAlignment="1" applyProtection="1">
      <alignment horizontal="centerContinuous" vertical="center"/>
      <protection/>
    </xf>
    <xf numFmtId="188" fontId="14" fillId="0" borderId="60" xfId="0" applyFont="1" applyFill="1" applyBorder="1" applyAlignment="1" applyProtection="1">
      <alignment horizontal="centerContinuous" vertical="center"/>
      <protection/>
    </xf>
    <xf numFmtId="188" fontId="10" fillId="0" borderId="60" xfId="0" applyFont="1" applyFill="1" applyBorder="1" applyAlignment="1" applyProtection="1">
      <alignment horizontal="centerContinuous" vertical="center"/>
      <protection/>
    </xf>
    <xf numFmtId="188" fontId="10" fillId="0" borderId="60" xfId="0" applyFont="1" applyFill="1" applyBorder="1" applyAlignment="1">
      <alignment horizontal="centerContinuous" vertical="center"/>
    </xf>
    <xf numFmtId="188" fontId="10" fillId="0" borderId="61" xfId="0" applyFont="1" applyFill="1" applyBorder="1" applyAlignment="1">
      <alignment horizontal="centerContinuous" vertical="center"/>
    </xf>
    <xf numFmtId="188" fontId="14" fillId="0" borderId="59" xfId="0" applyFont="1" applyFill="1" applyBorder="1" applyAlignment="1" applyProtection="1" quotePrefix="1">
      <alignment horizontal="centerContinuous" vertical="center"/>
      <protection/>
    </xf>
    <xf numFmtId="188" fontId="14" fillId="0" borderId="60" xfId="0" applyFont="1" applyFill="1" applyBorder="1" applyAlignment="1" applyProtection="1" quotePrefix="1">
      <alignment horizontal="centerContinuous" vertical="center"/>
      <protection/>
    </xf>
    <xf numFmtId="188" fontId="10" fillId="0" borderId="61" xfId="0" applyFont="1" applyFill="1" applyBorder="1" applyAlignment="1" applyProtection="1">
      <alignment horizontal="centerContinuous" vertical="center"/>
      <protection/>
    </xf>
    <xf numFmtId="188" fontId="1" fillId="2" borderId="24" xfId="0" applyFont="1" applyFill="1" applyBorder="1" applyAlignment="1" applyProtection="1">
      <alignment horizontal="center" vertical="center"/>
      <protection/>
    </xf>
    <xf numFmtId="188" fontId="1" fillId="2" borderId="9" xfId="0" applyFont="1" applyFill="1" applyBorder="1" applyAlignment="1" applyProtection="1">
      <alignment horizontal="center" vertical="center"/>
      <protection/>
    </xf>
    <xf numFmtId="188" fontId="1" fillId="2" borderId="11" xfId="0" applyFont="1" applyFill="1" applyBorder="1" applyAlignment="1" applyProtection="1">
      <alignment horizontal="right" vertical="center"/>
      <protection/>
    </xf>
    <xf numFmtId="188" fontId="1" fillId="2" borderId="25" xfId="0" applyFont="1" applyFill="1" applyBorder="1" applyAlignment="1" applyProtection="1">
      <alignment horizontal="center" vertical="center"/>
      <protection/>
    </xf>
    <xf numFmtId="188" fontId="1" fillId="2" borderId="0" xfId="0" applyFont="1" applyFill="1" applyBorder="1" applyAlignment="1" applyProtection="1">
      <alignment horizontal="center" vertical="center"/>
      <protection/>
    </xf>
    <xf numFmtId="188" fontId="1" fillId="2" borderId="0" xfId="0" applyFont="1" applyFill="1" applyBorder="1" applyAlignment="1" applyProtection="1">
      <alignment horizontal="right" vertical="center"/>
      <protection/>
    </xf>
    <xf numFmtId="188" fontId="10" fillId="2" borderId="0" xfId="0" applyFont="1" applyFill="1" applyBorder="1" applyAlignment="1">
      <alignment/>
    </xf>
    <xf numFmtId="188" fontId="28" fillId="8" borderId="6" xfId="0" applyFont="1" applyFill="1" applyBorder="1" applyAlignment="1" applyProtection="1" quotePrefix="1">
      <alignment horizontal="center"/>
      <protection/>
    </xf>
    <xf numFmtId="188" fontId="28" fillId="8" borderId="6" xfId="0" applyFont="1" applyFill="1" applyBorder="1" applyAlignment="1" applyProtection="1">
      <alignment horizontal="center"/>
      <protection/>
    </xf>
    <xf numFmtId="188" fontId="25" fillId="8" borderId="6" xfId="0" applyFont="1" applyFill="1" applyBorder="1" applyAlignment="1" applyProtection="1">
      <alignment/>
      <protection/>
    </xf>
    <xf numFmtId="188" fontId="28" fillId="8" borderId="62" xfId="0" applyFont="1" applyFill="1" applyBorder="1" applyAlignment="1" applyProtection="1">
      <alignment horizontal="center"/>
      <protection/>
    </xf>
    <xf numFmtId="188" fontId="25" fillId="8" borderId="62" xfId="0" applyFont="1" applyFill="1" applyBorder="1" applyAlignment="1" applyProtection="1">
      <alignment/>
      <protection/>
    </xf>
    <xf numFmtId="188" fontId="25" fillId="8" borderId="6" xfId="0" applyFont="1" applyFill="1" applyBorder="1" applyAlignment="1" applyProtection="1">
      <alignment horizontal="center"/>
      <protection/>
    </xf>
    <xf numFmtId="189" fontId="25" fillId="8" borderId="6" xfId="0" applyNumberFormat="1" applyFont="1" applyFill="1" applyBorder="1" applyAlignment="1" applyProtection="1">
      <alignment horizontal="center"/>
      <protection/>
    </xf>
    <xf numFmtId="188" fontId="25" fillId="8" borderId="6" xfId="0" applyFont="1" applyFill="1" applyBorder="1" applyAlignment="1">
      <alignment/>
    </xf>
    <xf numFmtId="188" fontId="30" fillId="8" borderId="6" xfId="0" applyFont="1" applyFill="1" applyBorder="1" applyAlignment="1" applyProtection="1">
      <alignment horizontal="right"/>
      <protection/>
    </xf>
    <xf numFmtId="188" fontId="28" fillId="8" borderId="6" xfId="0" applyFont="1" applyFill="1" applyBorder="1" applyAlignment="1" applyProtection="1">
      <alignment horizontal="right"/>
      <protection/>
    </xf>
    <xf numFmtId="188" fontId="30" fillId="8" borderId="6" xfId="0" applyFont="1" applyFill="1" applyBorder="1" applyAlignment="1" applyProtection="1" quotePrefix="1">
      <alignment horizontal="right"/>
      <protection/>
    </xf>
    <xf numFmtId="188" fontId="28" fillId="8" borderId="6" xfId="0" applyFont="1" applyFill="1" applyBorder="1" applyAlignment="1" applyProtection="1" quotePrefix="1">
      <alignment horizontal="right"/>
      <protection/>
    </xf>
    <xf numFmtId="188" fontId="30" fillId="8" borderId="6" xfId="0" applyFont="1" applyFill="1" applyBorder="1" applyAlignment="1" applyProtection="1">
      <alignment horizontal="center"/>
      <protection/>
    </xf>
    <xf numFmtId="188" fontId="30" fillId="8" borderId="6" xfId="0" applyFont="1" applyFill="1" applyBorder="1" applyAlignment="1" applyProtection="1" quotePrefix="1">
      <alignment horizontal="center"/>
      <protection/>
    </xf>
    <xf numFmtId="188" fontId="28" fillId="8" borderId="42" xfId="0" applyFont="1" applyFill="1" applyBorder="1" applyAlignment="1" applyProtection="1">
      <alignment horizontal="centerContinuous"/>
      <protection/>
    </xf>
    <xf numFmtId="188" fontId="28" fillId="8" borderId="42" xfId="0" applyFont="1" applyFill="1" applyBorder="1" applyAlignment="1" applyProtection="1">
      <alignment horizontal="left"/>
      <protection/>
    </xf>
    <xf numFmtId="188" fontId="28" fillId="8" borderId="42" xfId="0" applyFont="1" applyFill="1" applyBorder="1" applyAlignment="1" applyProtection="1">
      <alignment horizontal="center"/>
      <protection/>
    </xf>
    <xf numFmtId="188" fontId="28" fillId="8" borderId="42" xfId="0" applyFont="1" applyFill="1" applyBorder="1" applyAlignment="1" applyProtection="1" quotePrefix="1">
      <alignment horizontal="right"/>
      <protection/>
    </xf>
    <xf numFmtId="188" fontId="28" fillId="8" borderId="43" xfId="0" applyFont="1" applyFill="1" applyBorder="1" applyAlignment="1" applyProtection="1">
      <alignment horizontal="center"/>
      <protection/>
    </xf>
    <xf numFmtId="188" fontId="28" fillId="8" borderId="40" xfId="0" applyFont="1" applyFill="1" applyBorder="1" applyAlignment="1" applyProtection="1">
      <alignment horizontal="centerContinuous"/>
      <protection/>
    </xf>
    <xf numFmtId="188" fontId="28" fillId="8" borderId="56" xfId="0" applyFont="1" applyFill="1" applyBorder="1" applyAlignment="1" applyProtection="1">
      <alignment horizontal="centerContinuous"/>
      <protection/>
    </xf>
    <xf numFmtId="188" fontId="25" fillId="8" borderId="51" xfId="0" applyFont="1" applyFill="1" applyBorder="1" applyAlignment="1" applyProtection="1">
      <alignment horizontal="centerContinuous"/>
      <protection/>
    </xf>
    <xf numFmtId="188" fontId="25" fillId="8" borderId="0" xfId="0" applyFont="1" applyFill="1" applyAlignment="1">
      <alignment/>
    </xf>
    <xf numFmtId="189" fontId="11" fillId="4" borderId="6" xfId="0" applyNumberFormat="1" applyFont="1" applyFill="1" applyBorder="1" applyAlignment="1" applyProtection="1">
      <alignment horizontal="center"/>
      <protection locked="0"/>
    </xf>
    <xf numFmtId="188" fontId="25" fillId="8" borderId="51" xfId="0" applyFont="1" applyFill="1" applyBorder="1" applyAlignment="1">
      <alignment horizontal="centerContinuous"/>
    </xf>
    <xf numFmtId="188" fontId="25" fillId="8" borderId="42" xfId="0" applyFont="1" applyFill="1" applyBorder="1" applyAlignment="1">
      <alignment horizontal="centerContinuous"/>
    </xf>
    <xf numFmtId="188" fontId="25" fillId="8" borderId="42" xfId="0" applyFont="1" applyFill="1" applyBorder="1" applyAlignment="1">
      <alignment/>
    </xf>
    <xf numFmtId="188" fontId="25" fillId="8" borderId="43" xfId="0" applyFont="1" applyFill="1" applyBorder="1" applyAlignment="1">
      <alignment/>
    </xf>
    <xf numFmtId="188" fontId="28" fillId="8" borderId="40" xfId="0" applyFont="1" applyFill="1" applyBorder="1" applyAlignment="1" applyProtection="1">
      <alignment horizontal="center"/>
      <protection/>
    </xf>
    <xf numFmtId="188" fontId="28" fillId="8" borderId="6" xfId="0" applyFont="1" applyFill="1" applyBorder="1" applyAlignment="1" applyProtection="1">
      <alignment horizontal="centerContinuous"/>
      <protection/>
    </xf>
    <xf numFmtId="188" fontId="25" fillId="8" borderId="6" xfId="0" applyFont="1" applyFill="1" applyBorder="1" applyAlignment="1">
      <alignment horizontal="centerContinuous"/>
    </xf>
    <xf numFmtId="188" fontId="31" fillId="8" borderId="6" xfId="0" applyFont="1" applyFill="1" applyBorder="1" applyAlignment="1" applyProtection="1">
      <alignment horizontal="center"/>
      <protection/>
    </xf>
    <xf numFmtId="188" fontId="31" fillId="8" borderId="6" xfId="0" applyFont="1" applyFill="1" applyBorder="1" applyAlignment="1" applyProtection="1">
      <alignment horizontal="centerContinuous"/>
      <protection/>
    </xf>
    <xf numFmtId="188" fontId="31" fillId="8" borderId="46" xfId="0" applyFont="1" applyFill="1" applyBorder="1" applyAlignment="1" applyProtection="1">
      <alignment horizontal="center"/>
      <protection/>
    </xf>
    <xf numFmtId="188" fontId="31" fillId="8" borderId="46" xfId="0" applyFont="1" applyFill="1" applyBorder="1" applyAlignment="1" applyProtection="1">
      <alignment horizontal="centerContinuous"/>
      <protection/>
    </xf>
    <xf numFmtId="188" fontId="31" fillId="8" borderId="6" xfId="0" applyFont="1" applyFill="1" applyBorder="1" applyAlignment="1" applyProtection="1">
      <alignment/>
      <protection/>
    </xf>
    <xf numFmtId="188" fontId="4" fillId="2" borderId="63" xfId="0" applyFont="1" applyFill="1" applyBorder="1" applyAlignment="1" applyProtection="1">
      <alignment horizontal="center"/>
      <protection/>
    </xf>
    <xf numFmtId="188" fontId="4" fillId="2" borderId="64" xfId="0" applyFont="1" applyFill="1" applyBorder="1" applyAlignment="1" applyProtection="1">
      <alignment horizontal="center"/>
      <protection/>
    </xf>
    <xf numFmtId="188" fontId="4" fillId="2" borderId="65" xfId="0" applyFont="1" applyFill="1" applyBorder="1" applyAlignment="1" applyProtection="1">
      <alignment horizontal="center" vertical="center"/>
      <protection/>
    </xf>
    <xf numFmtId="188" fontId="4" fillId="2" borderId="39" xfId="0" applyFont="1" applyFill="1" applyBorder="1" applyAlignment="1" applyProtection="1" quotePrefix="1">
      <alignment horizontal="center" vertical="center"/>
      <protection/>
    </xf>
    <xf numFmtId="188" fontId="4" fillId="2" borderId="39" xfId="0" applyFont="1" applyFill="1" applyBorder="1" applyAlignment="1" applyProtection="1">
      <alignment horizontal="center" vertical="center"/>
      <protection/>
    </xf>
    <xf numFmtId="188" fontId="4" fillId="0" borderId="40" xfId="0" applyFont="1" applyFill="1" applyBorder="1" applyAlignment="1" applyProtection="1">
      <alignment horizontal="center"/>
      <protection locked="0"/>
    </xf>
    <xf numFmtId="188" fontId="11" fillId="0" borderId="40" xfId="0" applyFont="1" applyFill="1" applyBorder="1" applyAlignment="1" applyProtection="1">
      <alignment horizontal="center"/>
      <protection locked="0"/>
    </xf>
    <xf numFmtId="188" fontId="4" fillId="2" borderId="29" xfId="0" applyFont="1" applyFill="1" applyBorder="1" applyAlignment="1" applyProtection="1">
      <alignment horizontal="center"/>
      <protection/>
    </xf>
    <xf numFmtId="188" fontId="32" fillId="2" borderId="13" xfId="0" applyFont="1" applyFill="1" applyBorder="1" applyAlignment="1" applyProtection="1">
      <alignment horizontal="center"/>
      <protection/>
    </xf>
    <xf numFmtId="188" fontId="33" fillId="2" borderId="15" xfId="0" applyFont="1" applyFill="1" applyBorder="1" applyAlignment="1" applyProtection="1">
      <alignment horizontal="center"/>
      <protection/>
    </xf>
    <xf numFmtId="188" fontId="33" fillId="2" borderId="14" xfId="0" applyFont="1" applyFill="1" applyBorder="1" applyAlignment="1" applyProtection="1">
      <alignment horizontal="centerContinuous"/>
      <protection/>
    </xf>
    <xf numFmtId="188" fontId="33" fillId="2" borderId="15" xfId="0" applyFont="1" applyFill="1" applyBorder="1" applyAlignment="1" applyProtection="1">
      <alignment horizontal="centerContinuous"/>
      <protection/>
    </xf>
    <xf numFmtId="188" fontId="33" fillId="2" borderId="14" xfId="0" applyFont="1" applyFill="1" applyBorder="1" applyAlignment="1" applyProtection="1">
      <alignment horizontal="center"/>
      <protection/>
    </xf>
    <xf numFmtId="188" fontId="33" fillId="2" borderId="33" xfId="0" applyFont="1" applyFill="1" applyBorder="1" applyAlignment="1" applyProtection="1">
      <alignment horizontal="center"/>
      <protection/>
    </xf>
    <xf numFmtId="188" fontId="32" fillId="2" borderId="18" xfId="0" applyFont="1" applyFill="1" applyBorder="1" applyAlignment="1" applyProtection="1">
      <alignment horizontal="center"/>
      <protection/>
    </xf>
    <xf numFmtId="188" fontId="33" fillId="2" borderId="20" xfId="0" applyFont="1" applyFill="1" applyBorder="1" applyAlignment="1" applyProtection="1">
      <alignment horizontal="center"/>
      <protection/>
    </xf>
    <xf numFmtId="188" fontId="33" fillId="2" borderId="19" xfId="0" applyFont="1" applyFill="1" applyBorder="1" applyAlignment="1" applyProtection="1">
      <alignment horizontal="centerContinuous"/>
      <protection/>
    </xf>
    <xf numFmtId="188" fontId="33" fillId="2" borderId="20" xfId="0" applyFont="1" applyFill="1" applyBorder="1" applyAlignment="1" applyProtection="1">
      <alignment horizontal="centerContinuous"/>
      <protection/>
    </xf>
    <xf numFmtId="188" fontId="33" fillId="2" borderId="19" xfId="0" applyFont="1" applyFill="1" applyBorder="1" applyAlignment="1" applyProtection="1">
      <alignment horizontal="center"/>
      <protection/>
    </xf>
    <xf numFmtId="188" fontId="33" fillId="2" borderId="8" xfId="0" applyFont="1" applyFill="1" applyBorder="1" applyAlignment="1" applyProtection="1">
      <alignment horizontal="center"/>
      <protection/>
    </xf>
    <xf numFmtId="188" fontId="32" fillId="2" borderId="26" xfId="0" applyFont="1" applyFill="1" applyBorder="1" applyAlignment="1" applyProtection="1" quotePrefix="1">
      <alignment horizontal="center"/>
      <protection/>
    </xf>
    <xf numFmtId="3" fontId="11" fillId="0" borderId="6" xfId="18" applyNumberFormat="1" applyFont="1" applyFill="1" applyBorder="1" applyAlignment="1" applyProtection="1" quotePrefix="1">
      <alignment horizontal="center" vertical="center"/>
      <protection/>
    </xf>
    <xf numFmtId="188" fontId="11" fillId="0" borderId="6" xfId="0" applyFont="1" applyBorder="1" applyAlignment="1">
      <alignment horizontal="center"/>
    </xf>
    <xf numFmtId="188" fontId="27" fillId="7" borderId="56" xfId="0" applyFont="1" applyFill="1" applyBorder="1" applyAlignment="1" applyProtection="1">
      <alignment horizontal="centerContinuous"/>
      <protection/>
    </xf>
    <xf numFmtId="188" fontId="27" fillId="7" borderId="51" xfId="0" applyFont="1" applyFill="1" applyBorder="1" applyAlignment="1" applyProtection="1">
      <alignment horizontal="centerContinuous"/>
      <protection/>
    </xf>
    <xf numFmtId="188" fontId="4" fillId="9" borderId="0" xfId="0" applyFont="1" applyFill="1" applyAlignment="1" applyProtection="1">
      <alignment/>
      <protection/>
    </xf>
    <xf numFmtId="188" fontId="0" fillId="9" borderId="0" xfId="0" applyFill="1" applyAlignment="1" applyProtection="1">
      <alignment/>
      <protection/>
    </xf>
    <xf numFmtId="188" fontId="0" fillId="9" borderId="0" xfId="0" applyFill="1" applyAlignment="1">
      <alignment/>
    </xf>
    <xf numFmtId="188" fontId="0" fillId="9" borderId="0" xfId="0" applyFont="1" applyFill="1" applyAlignment="1" applyProtection="1">
      <alignment/>
      <protection/>
    </xf>
    <xf numFmtId="188" fontId="0" fillId="5" borderId="38" xfId="0" applyFill="1" applyBorder="1" applyAlignment="1">
      <alignment horizontal="centerContinuous"/>
    </xf>
    <xf numFmtId="188" fontId="4" fillId="5" borderId="66" xfId="0" applyFont="1" applyFill="1" applyBorder="1" applyAlignment="1" applyProtection="1">
      <alignment horizontal="centerContinuous" vertical="center" wrapText="1"/>
      <protection/>
    </xf>
    <xf numFmtId="188" fontId="0" fillId="5" borderId="67" xfId="0" applyFill="1" applyBorder="1" applyAlignment="1">
      <alignment/>
    </xf>
    <xf numFmtId="188" fontId="1" fillId="5" borderId="0" xfId="0" applyFont="1" applyFill="1" applyBorder="1" applyAlignment="1" applyProtection="1" quotePrefix="1">
      <alignment horizontal="left"/>
      <protection/>
    </xf>
    <xf numFmtId="188" fontId="4" fillId="5" borderId="0" xfId="0" applyFont="1" applyFill="1" applyBorder="1" applyAlignment="1" applyProtection="1">
      <alignment/>
      <protection/>
    </xf>
    <xf numFmtId="188" fontId="1" fillId="5" borderId="0" xfId="0" applyFont="1" applyFill="1" applyBorder="1" applyAlignment="1" applyProtection="1">
      <alignment horizontal="center" vertical="center" wrapText="1"/>
      <protection/>
    </xf>
    <xf numFmtId="188" fontId="0" fillId="5" borderId="0" xfId="0" applyFill="1" applyBorder="1" applyAlignment="1">
      <alignment/>
    </xf>
    <xf numFmtId="188" fontId="0" fillId="5" borderId="68" xfId="0" applyFill="1" applyBorder="1" applyAlignment="1">
      <alignment/>
    </xf>
    <xf numFmtId="188" fontId="1" fillId="5" borderId="0" xfId="0" applyFont="1" applyFill="1" applyBorder="1" applyAlignment="1" applyProtection="1" quotePrefix="1">
      <alignment horizontal="center"/>
      <protection/>
    </xf>
    <xf numFmtId="188" fontId="1" fillId="5" borderId="0" xfId="0" applyFont="1" applyFill="1" applyBorder="1" applyAlignment="1">
      <alignment horizontal="center"/>
    </xf>
    <xf numFmtId="188" fontId="1" fillId="5" borderId="0" xfId="0" applyFont="1" applyFill="1" applyBorder="1" applyAlignment="1" applyProtection="1">
      <alignment horizontal="center"/>
      <protection/>
    </xf>
    <xf numFmtId="188" fontId="1" fillId="5" borderId="0" xfId="0" applyFont="1" applyFill="1" applyBorder="1" applyAlignment="1" applyProtection="1">
      <alignment horizontal="center"/>
      <protection/>
    </xf>
    <xf numFmtId="189" fontId="4" fillId="5" borderId="6" xfId="0" applyNumberFormat="1" applyFont="1" applyFill="1" applyBorder="1" applyAlignment="1" applyProtection="1">
      <alignment horizontal="center"/>
      <protection/>
    </xf>
    <xf numFmtId="188" fontId="0" fillId="5" borderId="69" xfId="0" applyFill="1" applyBorder="1" applyAlignment="1">
      <alignment/>
    </xf>
    <xf numFmtId="188" fontId="4" fillId="5" borderId="45" xfId="0" applyFont="1" applyFill="1" applyBorder="1" applyAlignment="1" applyProtection="1">
      <alignment/>
      <protection/>
    </xf>
    <xf numFmtId="188" fontId="0" fillId="5" borderId="45" xfId="0" applyFill="1" applyBorder="1" applyAlignment="1">
      <alignment/>
    </xf>
    <xf numFmtId="188" fontId="0" fillId="5" borderId="70" xfId="0" applyFill="1" applyBorder="1" applyAlignment="1">
      <alignment/>
    </xf>
    <xf numFmtId="188" fontId="13" fillId="5" borderId="50" xfId="0" applyFont="1" applyFill="1" applyBorder="1" applyAlignment="1" applyProtection="1">
      <alignment horizontal="centerContinuous" vertical="top" wrapText="1"/>
      <protection/>
    </xf>
    <xf numFmtId="188" fontId="13" fillId="5" borderId="38" xfId="0" applyFont="1" applyFill="1" applyBorder="1" applyAlignment="1" applyProtection="1">
      <alignment horizontal="centerContinuous" vertical="top" wrapText="1"/>
      <protection/>
    </xf>
    <xf numFmtId="188" fontId="0" fillId="5" borderId="66" xfId="0" applyFill="1" applyBorder="1" applyAlignment="1">
      <alignment horizontal="centerContinuous"/>
    </xf>
    <xf numFmtId="188" fontId="13" fillId="5" borderId="67" xfId="0" applyFont="1" applyFill="1" applyBorder="1" applyAlignment="1" applyProtection="1">
      <alignment horizontal="centerContinuous" vertical="top" wrapText="1"/>
      <protection/>
    </xf>
    <xf numFmtId="188" fontId="13" fillId="5" borderId="0" xfId="0" applyFont="1" applyFill="1" applyBorder="1" applyAlignment="1" applyProtection="1">
      <alignment horizontal="centerContinuous" vertical="top" wrapText="1"/>
      <protection/>
    </xf>
    <xf numFmtId="188" fontId="13" fillId="5" borderId="0" xfId="0" applyFont="1" applyFill="1" applyBorder="1" applyAlignment="1" applyProtection="1">
      <alignment horizontal="centerContinuous" vertical="center" wrapText="1"/>
      <protection/>
    </xf>
    <xf numFmtId="188" fontId="4" fillId="5" borderId="0" xfId="0" applyFont="1" applyFill="1" applyBorder="1" applyAlignment="1" applyProtection="1">
      <alignment horizontal="centerContinuous" vertical="center" wrapText="1"/>
      <protection/>
    </xf>
    <xf numFmtId="188" fontId="0" fillId="5" borderId="0" xfId="0" applyFill="1" applyBorder="1" applyAlignment="1">
      <alignment horizontal="centerContinuous"/>
    </xf>
    <xf numFmtId="188" fontId="0" fillId="5" borderId="0" xfId="0" applyFill="1" applyBorder="1" applyAlignment="1">
      <alignment/>
    </xf>
    <xf numFmtId="188" fontId="1" fillId="5" borderId="0" xfId="0" applyFont="1" applyFill="1" applyBorder="1" applyAlignment="1" applyProtection="1">
      <alignment horizontal="centerContinuous"/>
      <protection/>
    </xf>
    <xf numFmtId="188" fontId="19" fillId="5" borderId="0" xfId="0" applyFont="1" applyFill="1" applyBorder="1" applyAlignment="1" applyProtection="1">
      <alignment horizontal="center" wrapText="1"/>
      <protection/>
    </xf>
    <xf numFmtId="188" fontId="1" fillId="5" borderId="0" xfId="0" applyFont="1" applyFill="1" applyBorder="1" applyAlignment="1" applyProtection="1">
      <alignment horizontal="centerContinuous" wrapText="1"/>
      <protection/>
    </xf>
    <xf numFmtId="188" fontId="10" fillId="5" borderId="6" xfId="0" applyFont="1" applyFill="1" applyBorder="1" applyAlignment="1" applyProtection="1">
      <alignment horizontal="centerContinuous"/>
      <protection/>
    </xf>
    <xf numFmtId="188" fontId="0" fillId="5" borderId="6" xfId="0" applyFill="1" applyBorder="1" applyAlignment="1">
      <alignment horizontal="centerContinuous"/>
    </xf>
    <xf numFmtId="189" fontId="10" fillId="5" borderId="6" xfId="0" applyNumberFormat="1" applyFont="1" applyFill="1" applyBorder="1" applyAlignment="1" applyProtection="1">
      <alignment horizontal="center"/>
      <protection/>
    </xf>
    <xf numFmtId="188" fontId="1" fillId="5" borderId="0" xfId="0" applyFont="1" applyFill="1" applyBorder="1" applyAlignment="1" applyProtection="1" quotePrefix="1">
      <alignment horizontal="centerContinuous"/>
      <protection/>
    </xf>
    <xf numFmtId="188" fontId="4" fillId="5" borderId="6" xfId="0" applyFont="1" applyFill="1" applyBorder="1" applyAlignment="1" applyProtection="1">
      <alignment horizontal="centerContinuous"/>
      <protection/>
    </xf>
    <xf numFmtId="188" fontId="4" fillId="5" borderId="0" xfId="0" applyFont="1" applyFill="1" applyBorder="1" applyAlignment="1" applyProtection="1">
      <alignment/>
      <protection/>
    </xf>
    <xf numFmtId="188" fontId="1" fillId="5" borderId="69" xfId="0" applyFont="1" applyFill="1" applyBorder="1" applyAlignment="1" applyProtection="1">
      <alignment horizontal="centerContinuous"/>
      <protection/>
    </xf>
    <xf numFmtId="188" fontId="4" fillId="5" borderId="45" xfId="0" applyFont="1" applyFill="1" applyBorder="1" applyAlignment="1" applyProtection="1">
      <alignment horizontal="center"/>
      <protection/>
    </xf>
    <xf numFmtId="188" fontId="11" fillId="5" borderId="45" xfId="0" applyFont="1" applyFill="1" applyBorder="1" applyAlignment="1" applyProtection="1">
      <alignment horizontal="centerContinuous"/>
      <protection/>
    </xf>
    <xf numFmtId="188" fontId="0" fillId="5" borderId="45" xfId="0" applyFill="1" applyBorder="1" applyAlignment="1">
      <alignment horizontal="centerContinuous"/>
    </xf>
    <xf numFmtId="188" fontId="4" fillId="5" borderId="45" xfId="0" applyFont="1" applyFill="1" applyBorder="1" applyAlignment="1" applyProtection="1">
      <alignment horizontal="centerContinuous"/>
      <protection/>
    </xf>
    <xf numFmtId="188" fontId="4" fillId="3" borderId="50" xfId="0" applyFont="1" applyFill="1" applyBorder="1" applyAlignment="1">
      <alignment/>
    </xf>
    <xf numFmtId="188" fontId="4" fillId="3" borderId="38" xfId="0" applyFont="1" applyFill="1" applyBorder="1" applyAlignment="1">
      <alignment/>
    </xf>
    <xf numFmtId="188" fontId="4" fillId="3" borderId="66" xfId="0" applyFont="1" applyFill="1" applyBorder="1" applyAlignment="1">
      <alignment/>
    </xf>
    <xf numFmtId="188" fontId="4" fillId="3" borderId="67" xfId="0" applyFont="1" applyFill="1" applyBorder="1" applyAlignment="1">
      <alignment/>
    </xf>
    <xf numFmtId="188" fontId="4" fillId="3" borderId="0" xfId="0" applyFont="1" applyFill="1" applyBorder="1" applyAlignment="1">
      <alignment/>
    </xf>
    <xf numFmtId="188" fontId="4" fillId="3" borderId="68" xfId="0" applyFont="1" applyFill="1" applyBorder="1" applyAlignment="1">
      <alignment/>
    </xf>
    <xf numFmtId="188" fontId="33" fillId="3" borderId="67" xfId="0" applyFont="1" applyFill="1" applyBorder="1" applyAlignment="1">
      <alignment horizontal="right"/>
    </xf>
    <xf numFmtId="188" fontId="4" fillId="3" borderId="45" xfId="0" applyFont="1" applyFill="1" applyBorder="1" applyAlignment="1">
      <alignment/>
    </xf>
    <xf numFmtId="188" fontId="4" fillId="3" borderId="70" xfId="0" applyFont="1" applyFill="1" applyBorder="1" applyAlignment="1">
      <alignment/>
    </xf>
    <xf numFmtId="188" fontId="4" fillId="3" borderId="69" xfId="0" applyFont="1" applyFill="1" applyBorder="1" applyAlignment="1">
      <alignment/>
    </xf>
    <xf numFmtId="188" fontId="25" fillId="8" borderId="6" xfId="0" applyFont="1" applyFill="1" applyBorder="1" applyAlignment="1" applyProtection="1">
      <alignment horizontal="center"/>
      <protection/>
    </xf>
    <xf numFmtId="188" fontId="25" fillId="8" borderId="42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175"/>
          <c:w val="0.966"/>
          <c:h val="0.808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'Poliof40 - LIVROB'!$A$7</c:f>
              <c:strCache>
                <c:ptCount val="1"/>
                <c:pt idx="0">
                  <c:v>Pl. Estoque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LIVROB'!$B$5:$M$5</c:f>
              <c:strCache/>
            </c:strRef>
          </c:cat>
          <c:val>
            <c:numRef>
              <c:f>'Poliof40 - LIVROB'!$B$7:$M$7</c:f>
              <c:numCache/>
            </c:numRef>
          </c:val>
        </c:ser>
        <c:axId val="54126839"/>
        <c:axId val="17379504"/>
      </c:barChart>
      <c:lineChart>
        <c:grouping val="standard"/>
        <c:varyColors val="0"/>
        <c:ser>
          <c:idx val="1"/>
          <c:order val="0"/>
          <c:tx>
            <c:strRef>
              <c:f>'Poliof40 - LIVROB'!$A$6</c:f>
              <c:strCache>
                <c:ptCount val="1"/>
                <c:pt idx="0">
                  <c:v>Previsão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'Poliof40 - LIVROB'!$B$5:$M$5</c:f>
              <c:strCache/>
            </c:strRef>
          </c:cat>
          <c:val>
            <c:numRef>
              <c:f>'Poliof40 - LIVROB'!$B$6:$M$6</c:f>
              <c:numCache/>
            </c:numRef>
          </c:val>
          <c:smooth val="0"/>
        </c:ser>
        <c:axId val="54126839"/>
        <c:axId val="17379504"/>
      </c:lineChart>
      <c:lineChart>
        <c:grouping val="standard"/>
        <c:varyColors val="0"/>
        <c:ser>
          <c:idx val="0"/>
          <c:order val="2"/>
          <c:tx>
            <c:strRef>
              <c:f>'Poliof40 - LIVROB'!$A$8</c:f>
              <c:strCache>
                <c:ptCount val="1"/>
                <c:pt idx="0">
                  <c:v>Pl. Produção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'Poliof40 - LIVROB'!$B$5:$M$5</c:f>
              <c:strCache/>
            </c:strRef>
          </c:cat>
          <c:val>
            <c:numRef>
              <c:f>'Poliof40 - LIVROB'!$B$8:$M$8</c:f>
              <c:numCache/>
            </c:numRef>
          </c:val>
          <c:smooth val="0"/>
        </c:ser>
        <c:axId val="22197809"/>
        <c:axId val="65562554"/>
      </c:lineChart>
      <c:catAx>
        <c:axId val="54126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79504"/>
        <c:crosses val="autoZero"/>
        <c:auto val="0"/>
        <c:lblOffset val="100"/>
        <c:noMultiLvlLbl val="0"/>
      </c:catAx>
      <c:valAx>
        <c:axId val="17379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126839"/>
        <c:crossesAt val="1"/>
        <c:crossBetween val="between"/>
        <c:dispUnits/>
      </c:valAx>
      <c:catAx>
        <c:axId val="22197809"/>
        <c:scaling>
          <c:orientation val="minMax"/>
        </c:scaling>
        <c:axPos val="b"/>
        <c:delete val="1"/>
        <c:majorTickMark val="out"/>
        <c:minorTickMark val="none"/>
        <c:tickLblPos val="nextTo"/>
        <c:crossAx val="65562554"/>
        <c:crosses val="autoZero"/>
        <c:auto val="0"/>
        <c:lblOffset val="100"/>
        <c:noMultiLvlLbl val="0"/>
      </c:catAx>
      <c:valAx>
        <c:axId val="65562554"/>
        <c:scaling>
          <c:orientation val="minMax"/>
        </c:scaling>
        <c:axPos val="l"/>
        <c:delete val="1"/>
        <c:majorTickMark val="out"/>
        <c:minorTickMark val="none"/>
        <c:tickLblPos val="nextTo"/>
        <c:crossAx val="2219780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225"/>
          <c:y val="0.89575"/>
          <c:w val="0.6025"/>
          <c:h val="0.088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0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Carga - Linha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825"/>
          <c:w val="0.9707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LIVROB'!$B$374:$M$374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LIVROB'!$B$375:$M$375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3192075"/>
        <c:axId val="8966628"/>
      </c:barChart>
      <c:catAx>
        <c:axId val="53192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966628"/>
        <c:crossesAt val="0"/>
        <c:auto val="1"/>
        <c:lblOffset val="100"/>
        <c:noMultiLvlLbl val="0"/>
      </c:catAx>
      <c:valAx>
        <c:axId val="8966628"/>
        <c:scaling>
          <c:orientation val="minMax"/>
          <c:max val="9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192075"/>
        <c:crossesAt val="1"/>
        <c:crossBetween val="between"/>
        <c:dispUnits/>
        <c:majorUnit val="40"/>
        <c:min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Carga - Linha 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825"/>
          <c:w val="0.9707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LIVROB'!$B$376:$M$376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LIVROB'!$B$377:$M$377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3590789"/>
        <c:axId val="55208238"/>
      </c:barChart>
      <c:catAx>
        <c:axId val="13590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208238"/>
        <c:crossesAt val="0"/>
        <c:auto val="1"/>
        <c:lblOffset val="100"/>
        <c:noMultiLvlLbl val="0"/>
      </c:catAx>
      <c:valAx>
        <c:axId val="55208238"/>
        <c:scaling>
          <c:orientation val="minMax"/>
          <c:max val="9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590789"/>
        <c:crossesAt val="1"/>
        <c:crossBetween val="between"/>
        <c:dispUnits/>
        <c:majorUnit val="40"/>
        <c:min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Carga - Submontagem INP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825"/>
          <c:w val="0.9707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LIVROB'!$B$378:$M$378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LIVROB'!$B$379:$M$379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7112095"/>
        <c:axId val="42682264"/>
      </c:barChart>
      <c:catAx>
        <c:axId val="27112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682264"/>
        <c:crossesAt val="0"/>
        <c:auto val="1"/>
        <c:lblOffset val="100"/>
        <c:noMultiLvlLbl val="0"/>
      </c:catAx>
      <c:valAx>
        <c:axId val="42682264"/>
        <c:scaling>
          <c:orientation val="minMax"/>
          <c:max val="45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112095"/>
        <c:crossesAt val="1"/>
        <c:crossBetween val="between"/>
        <c:dispUnits/>
        <c:majorUnit val="40"/>
        <c:min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Carga - Submontagem CPU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825"/>
          <c:w val="0.9707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LIVROB'!$B$380:$M$380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LIVROB'!$B$381:$M$381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48596057"/>
        <c:axId val="34711330"/>
      </c:barChart>
      <c:catAx>
        <c:axId val="48596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711330"/>
        <c:crossesAt val="0"/>
        <c:auto val="1"/>
        <c:lblOffset val="100"/>
        <c:noMultiLvlLbl val="0"/>
      </c:catAx>
      <c:valAx>
        <c:axId val="34711330"/>
        <c:scaling>
          <c:orientation val="minMax"/>
          <c:max val="45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596057"/>
        <c:crossesAt val="1"/>
        <c:crossBetween val="between"/>
        <c:dispUnits/>
        <c:majorUnit val="40"/>
        <c:min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Carga - Fabricação PCB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825"/>
          <c:w val="0.9707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LIVROB'!$B$382:$M$382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LIVROB'!$B$383:$M$383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43966515"/>
        <c:axId val="60154316"/>
      </c:barChart>
      <c:catAx>
        <c:axId val="43966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154316"/>
        <c:crossesAt val="0"/>
        <c:auto val="1"/>
        <c:lblOffset val="100"/>
        <c:noMultiLvlLbl val="0"/>
      </c:catAx>
      <c:valAx>
        <c:axId val="60154316"/>
        <c:scaling>
          <c:orientation val="minMax"/>
          <c:max val="9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3966515"/>
        <c:crossesAt val="1"/>
        <c:crossBetween val="between"/>
        <c:dispUnits/>
        <c:majorUnit val="40"/>
        <c:min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14</xdr:row>
      <xdr:rowOff>85725</xdr:rowOff>
    </xdr:from>
    <xdr:to>
      <xdr:col>9</xdr:col>
      <xdr:colOff>457200</xdr:colOff>
      <xdr:row>28</xdr:row>
      <xdr:rowOff>123825</xdr:rowOff>
    </xdr:to>
    <xdr:graphicFrame>
      <xdr:nvGraphicFramePr>
        <xdr:cNvPr id="1" name="Chart 10"/>
        <xdr:cNvGraphicFramePr/>
      </xdr:nvGraphicFramePr>
      <xdr:xfrm>
        <a:off x="314325" y="2314575"/>
        <a:ext cx="56388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371</xdr:row>
      <xdr:rowOff>142875</xdr:rowOff>
    </xdr:from>
    <xdr:to>
      <xdr:col>13</xdr:col>
      <xdr:colOff>438150</xdr:colOff>
      <xdr:row>395</xdr:row>
      <xdr:rowOff>142875</xdr:rowOff>
    </xdr:to>
    <xdr:graphicFrame>
      <xdr:nvGraphicFramePr>
        <xdr:cNvPr id="2" name="Chart 70"/>
        <xdr:cNvGraphicFramePr/>
      </xdr:nvGraphicFramePr>
      <xdr:xfrm>
        <a:off x="847725" y="53149500"/>
        <a:ext cx="74104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396</xdr:row>
      <xdr:rowOff>85725</xdr:rowOff>
    </xdr:from>
    <xdr:to>
      <xdr:col>13</xdr:col>
      <xdr:colOff>466725</xdr:colOff>
      <xdr:row>420</xdr:row>
      <xdr:rowOff>85725</xdr:rowOff>
    </xdr:to>
    <xdr:graphicFrame>
      <xdr:nvGraphicFramePr>
        <xdr:cNvPr id="3" name="Chart 71"/>
        <xdr:cNvGraphicFramePr/>
      </xdr:nvGraphicFramePr>
      <xdr:xfrm>
        <a:off x="876300" y="57140475"/>
        <a:ext cx="74104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421</xdr:row>
      <xdr:rowOff>28575</xdr:rowOff>
    </xdr:from>
    <xdr:to>
      <xdr:col>13</xdr:col>
      <xdr:colOff>466725</xdr:colOff>
      <xdr:row>445</xdr:row>
      <xdr:rowOff>28575</xdr:rowOff>
    </xdr:to>
    <xdr:graphicFrame>
      <xdr:nvGraphicFramePr>
        <xdr:cNvPr id="4" name="Chart 72"/>
        <xdr:cNvGraphicFramePr/>
      </xdr:nvGraphicFramePr>
      <xdr:xfrm>
        <a:off x="876300" y="61131450"/>
        <a:ext cx="74104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28575</xdr:colOff>
      <xdr:row>445</xdr:row>
      <xdr:rowOff>133350</xdr:rowOff>
    </xdr:from>
    <xdr:to>
      <xdr:col>13</xdr:col>
      <xdr:colOff>466725</xdr:colOff>
      <xdr:row>469</xdr:row>
      <xdr:rowOff>133350</xdr:rowOff>
    </xdr:to>
    <xdr:graphicFrame>
      <xdr:nvGraphicFramePr>
        <xdr:cNvPr id="5" name="Chart 73"/>
        <xdr:cNvGraphicFramePr/>
      </xdr:nvGraphicFramePr>
      <xdr:xfrm>
        <a:off x="876300" y="65122425"/>
        <a:ext cx="7410450" cy="3886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28575</xdr:colOff>
      <xdr:row>470</xdr:row>
      <xdr:rowOff>76200</xdr:rowOff>
    </xdr:from>
    <xdr:to>
      <xdr:col>13</xdr:col>
      <xdr:colOff>466725</xdr:colOff>
      <xdr:row>494</xdr:row>
      <xdr:rowOff>76200</xdr:rowOff>
    </xdr:to>
    <xdr:graphicFrame>
      <xdr:nvGraphicFramePr>
        <xdr:cNvPr id="6" name="Chart 74"/>
        <xdr:cNvGraphicFramePr/>
      </xdr:nvGraphicFramePr>
      <xdr:xfrm>
        <a:off x="876300" y="69113400"/>
        <a:ext cx="7410450" cy="3886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K1050"/>
  <sheetViews>
    <sheetView showGridLines="0" showRowColHeaders="0" showZeros="0" tabSelected="1" zoomScale="80" zoomScaleNormal="80" workbookViewId="0" topLeftCell="A1">
      <selection activeCell="A1" sqref="A1"/>
    </sheetView>
  </sheetViews>
  <sheetFormatPr defaultColWidth="9.625" defaultRowHeight="12.75" zeroHeight="1"/>
  <cols>
    <col min="1" max="1" width="11.125" style="108" customWidth="1"/>
    <col min="2" max="14" width="7.625" style="108" customWidth="1"/>
    <col min="15" max="15" width="9.625" style="226" customWidth="1"/>
    <col min="16" max="19" width="9.625" style="108" customWidth="1"/>
    <col min="20" max="16384" width="9.625" style="108" hidden="1" customWidth="1"/>
  </cols>
  <sheetData>
    <row r="1" spans="1:28" s="104" customFormat="1" ht="16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225"/>
      <c r="P1" s="108"/>
      <c r="Q1" s="108"/>
      <c r="R1" s="108"/>
      <c r="S1" s="108"/>
      <c r="AB1" s="185"/>
    </row>
    <row r="2" spans="1:16" ht="6" customHeight="1" thickBot="1">
      <c r="A2" s="16" t="s">
        <v>0</v>
      </c>
      <c r="C2" s="114"/>
      <c r="N2" s="16" t="s">
        <v>0</v>
      </c>
      <c r="O2" s="225" t="s">
        <v>0</v>
      </c>
      <c r="P2" s="16" t="s">
        <v>0</v>
      </c>
    </row>
    <row r="3" spans="1:28" ht="21" thickBot="1">
      <c r="A3" s="164"/>
      <c r="B3" s="319" t="s">
        <v>1</v>
      </c>
      <c r="C3" s="320"/>
      <c r="D3" s="317"/>
      <c r="E3" s="317"/>
      <c r="F3" s="317"/>
      <c r="G3" s="317"/>
      <c r="H3" s="317"/>
      <c r="I3" s="318"/>
      <c r="N3" s="16"/>
      <c r="O3" s="225"/>
      <c r="P3" s="16"/>
      <c r="AB3" s="184"/>
    </row>
    <row r="4" spans="3:28" ht="12" customHeight="1">
      <c r="C4" s="17"/>
      <c r="D4" s="17"/>
      <c r="E4" s="17"/>
      <c r="F4" s="17"/>
      <c r="G4" s="17"/>
      <c r="N4" s="16" t="s">
        <v>0</v>
      </c>
      <c r="AB4" s="184"/>
    </row>
    <row r="5" spans="1:13" ht="12.75">
      <c r="A5" s="111"/>
      <c r="B5" s="330" t="s">
        <v>2</v>
      </c>
      <c r="C5" s="330" t="s">
        <v>3</v>
      </c>
      <c r="D5" s="330" t="s">
        <v>4</v>
      </c>
      <c r="E5" s="330" t="s">
        <v>5</v>
      </c>
      <c r="F5" s="330" t="s">
        <v>6</v>
      </c>
      <c r="G5" s="330" t="s">
        <v>7</v>
      </c>
      <c r="H5" s="330" t="s">
        <v>8</v>
      </c>
      <c r="I5" s="330" t="s">
        <v>9</v>
      </c>
      <c r="J5" s="330" t="s">
        <v>10</v>
      </c>
      <c r="K5" s="330" t="s">
        <v>11</v>
      </c>
      <c r="L5" s="330" t="s">
        <v>12</v>
      </c>
      <c r="M5" s="330" t="s">
        <v>13</v>
      </c>
    </row>
    <row r="6" spans="1:13" ht="12.75">
      <c r="A6" s="329" t="s">
        <v>14</v>
      </c>
      <c r="B6" s="34">
        <v>248</v>
      </c>
      <c r="C6" s="34">
        <v>260</v>
      </c>
      <c r="D6" s="34">
        <v>280</v>
      </c>
      <c r="E6" s="34">
        <v>270</v>
      </c>
      <c r="F6" s="34">
        <v>290</v>
      </c>
      <c r="G6" s="34">
        <v>270</v>
      </c>
      <c r="H6" s="34">
        <v>290</v>
      </c>
      <c r="I6" s="34">
        <v>270</v>
      </c>
      <c r="J6" s="34">
        <v>290</v>
      </c>
      <c r="K6" s="34">
        <v>260</v>
      </c>
      <c r="L6" s="34">
        <v>300</v>
      </c>
      <c r="M6" s="34">
        <v>270</v>
      </c>
    </row>
    <row r="7" spans="1:13" ht="12.75">
      <c r="A7" s="330" t="s">
        <v>15</v>
      </c>
      <c r="B7" s="331">
        <f>B14+B8-B6</f>
        <v>129</v>
      </c>
      <c r="C7" s="331">
        <f aca="true" t="shared" si="0" ref="C7:M7">B7+C8-C6</f>
        <v>119</v>
      </c>
      <c r="D7" s="331">
        <f t="shared" si="0"/>
        <v>89</v>
      </c>
      <c r="E7" s="331">
        <f t="shared" si="0"/>
        <v>99</v>
      </c>
      <c r="F7" s="331">
        <f t="shared" si="0"/>
        <v>89</v>
      </c>
      <c r="G7" s="331">
        <f t="shared" si="0"/>
        <v>99</v>
      </c>
      <c r="H7" s="331">
        <f t="shared" si="0"/>
        <v>89</v>
      </c>
      <c r="I7" s="331">
        <f t="shared" si="0"/>
        <v>99</v>
      </c>
      <c r="J7" s="331">
        <f t="shared" si="0"/>
        <v>89</v>
      </c>
      <c r="K7" s="331">
        <f t="shared" si="0"/>
        <v>109</v>
      </c>
      <c r="L7" s="331">
        <f t="shared" si="0"/>
        <v>89</v>
      </c>
      <c r="M7" s="331">
        <f t="shared" si="0"/>
        <v>99</v>
      </c>
    </row>
    <row r="8" spans="1:13" ht="12.75">
      <c r="A8" s="330" t="s">
        <v>16</v>
      </c>
      <c r="B8" s="34">
        <v>220</v>
      </c>
      <c r="C8" s="34">
        <v>250</v>
      </c>
      <c r="D8" s="34">
        <v>250</v>
      </c>
      <c r="E8" s="34">
        <v>280</v>
      </c>
      <c r="F8" s="34">
        <v>280</v>
      </c>
      <c r="G8" s="34">
        <v>280</v>
      </c>
      <c r="H8" s="34">
        <v>280</v>
      </c>
      <c r="I8" s="34">
        <v>280</v>
      </c>
      <c r="J8" s="34">
        <v>280</v>
      </c>
      <c r="K8" s="34">
        <v>280</v>
      </c>
      <c r="L8" s="34">
        <v>280</v>
      </c>
      <c r="M8" s="34">
        <v>280</v>
      </c>
    </row>
    <row r="9" spans="1:14" ht="12.75">
      <c r="A9" s="17"/>
      <c r="B9" s="17"/>
      <c r="C9" s="113"/>
      <c r="D9" s="114"/>
      <c r="E9" s="16"/>
      <c r="F9" s="17"/>
      <c r="G9" s="17"/>
      <c r="H9" s="17"/>
      <c r="I9" s="17"/>
      <c r="J9" s="17"/>
      <c r="K9" s="17"/>
      <c r="L9" s="17"/>
      <c r="M9" s="17"/>
      <c r="N9" s="16" t="s">
        <v>0</v>
      </c>
    </row>
    <row r="10" spans="1:14" ht="12.75">
      <c r="A10" s="113"/>
      <c r="B10" s="113" t="s">
        <v>17</v>
      </c>
      <c r="C10" s="113"/>
      <c r="D10" s="114"/>
      <c r="E10" s="16"/>
      <c r="F10" s="17"/>
      <c r="G10" s="17"/>
      <c r="H10" s="17"/>
      <c r="I10" s="17"/>
      <c r="J10" s="17"/>
      <c r="K10" s="17"/>
      <c r="L10" s="17"/>
      <c r="M10" s="17"/>
      <c r="N10" s="16"/>
    </row>
    <row r="11" spans="1:14" ht="5.25" customHeight="1">
      <c r="A11" s="17"/>
      <c r="B11" s="17"/>
      <c r="C11" s="113"/>
      <c r="D11" s="114"/>
      <c r="E11" s="16"/>
      <c r="F11" s="17"/>
      <c r="G11" s="17"/>
      <c r="H11" s="17"/>
      <c r="I11" s="17"/>
      <c r="J11" s="17"/>
      <c r="K11" s="17"/>
      <c r="L11" s="17"/>
      <c r="M11" s="17"/>
      <c r="N11" s="16"/>
    </row>
    <row r="12" spans="1:5" ht="12.75">
      <c r="A12" s="332" t="s">
        <v>18</v>
      </c>
      <c r="B12" s="333">
        <f>F83+F90+F97+F104+F111</f>
        <v>130</v>
      </c>
      <c r="C12" s="333">
        <f>J83+J90+J97+J104+J111</f>
        <v>142</v>
      </c>
      <c r="D12" s="333">
        <f>N83+N90+N97+N104+N111</f>
        <v>154</v>
      </c>
      <c r="E12" s="16" t="s">
        <v>0</v>
      </c>
    </row>
    <row r="13" spans="1:4" ht="12.75">
      <c r="A13" s="332" t="s">
        <v>19</v>
      </c>
      <c r="B13" s="333">
        <f>SUM(C84:F84)+SUM(C91:F91)+SUM(C98:F98)+SUM(C105:F105)+SUM(C112:F112)</f>
        <v>220</v>
      </c>
      <c r="C13" s="333">
        <f>SUM(G84:J84)+SUM(G91:J91)+SUM(G98:J98)+SUM(G105:J105)+SUM(G112:J112)</f>
        <v>270</v>
      </c>
      <c r="D13" s="333">
        <f>SUM(K84:N84)+SUM(K91:N91)+SUM(K98:N98)+SUM(K105:N105)+SUM(K112:N112)</f>
        <v>293</v>
      </c>
    </row>
    <row r="14" spans="1:4" ht="12.75">
      <c r="A14" s="330" t="s">
        <v>20</v>
      </c>
      <c r="B14" s="331">
        <f>D80+D87+D94+D101+D108</f>
        <v>157</v>
      </c>
      <c r="C14" s="328"/>
      <c r="D14" s="328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spans="1:3" ht="20.25" hidden="1">
      <c r="A30" s="163"/>
      <c r="B30" s="163" t="s">
        <v>21</v>
      </c>
      <c r="C30" s="118"/>
    </row>
    <row r="31" spans="3:7" ht="11.25" customHeight="1" hidden="1">
      <c r="C31" s="17"/>
      <c r="D31" s="17"/>
      <c r="E31" s="17"/>
      <c r="F31" s="17"/>
      <c r="G31" s="18"/>
    </row>
    <row r="32" spans="1:13" ht="12.75" hidden="1">
      <c r="A32" s="111"/>
      <c r="B32" s="330" t="s">
        <v>2</v>
      </c>
      <c r="C32" s="330" t="s">
        <v>3</v>
      </c>
      <c r="D32" s="330" t="s">
        <v>4</v>
      </c>
      <c r="E32" s="330" t="s">
        <v>5</v>
      </c>
      <c r="F32" s="330" t="s">
        <v>6</v>
      </c>
      <c r="G32" s="330" t="s">
        <v>7</v>
      </c>
      <c r="H32" s="330" t="s">
        <v>8</v>
      </c>
      <c r="I32" s="330" t="s">
        <v>9</v>
      </c>
      <c r="J32" s="330" t="s">
        <v>10</v>
      </c>
      <c r="K32" s="330" t="s">
        <v>11</v>
      </c>
      <c r="L32" s="330" t="s">
        <v>12</v>
      </c>
      <c r="M32" s="330" t="s">
        <v>13</v>
      </c>
    </row>
    <row r="33" spans="1:13" ht="12.75" hidden="1">
      <c r="A33" s="329" t="s">
        <v>14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 ht="12.75" hidden="1">
      <c r="A34" s="330" t="s">
        <v>15</v>
      </c>
      <c r="B34" s="331">
        <f>B41+B35-B33</f>
        <v>0</v>
      </c>
      <c r="C34" s="331">
        <f aca="true" t="shared" si="1" ref="C34:M34">B34+C35-C33</f>
        <v>0</v>
      </c>
      <c r="D34" s="331">
        <f t="shared" si="1"/>
        <v>0</v>
      </c>
      <c r="E34" s="331">
        <f t="shared" si="1"/>
        <v>0</v>
      </c>
      <c r="F34" s="331">
        <f t="shared" si="1"/>
        <v>0</v>
      </c>
      <c r="G34" s="331">
        <f t="shared" si="1"/>
        <v>0</v>
      </c>
      <c r="H34" s="331">
        <f t="shared" si="1"/>
        <v>0</v>
      </c>
      <c r="I34" s="331">
        <f t="shared" si="1"/>
        <v>0</v>
      </c>
      <c r="J34" s="331">
        <f t="shared" si="1"/>
        <v>0</v>
      </c>
      <c r="K34" s="331">
        <f t="shared" si="1"/>
        <v>0</v>
      </c>
      <c r="L34" s="331">
        <f t="shared" si="1"/>
        <v>0</v>
      </c>
      <c r="M34" s="331">
        <f t="shared" si="1"/>
        <v>0</v>
      </c>
    </row>
    <row r="35" spans="1:13" ht="12.75" hidden="1">
      <c r="A35" s="330" t="s">
        <v>16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 ht="12.75" hidden="1">
      <c r="A36" s="17"/>
      <c r="B36" s="17"/>
      <c r="C36" s="113"/>
      <c r="D36" s="109"/>
      <c r="E36" s="16"/>
      <c r="F36" s="17"/>
      <c r="G36" s="17"/>
      <c r="H36" s="17"/>
      <c r="I36" s="17"/>
      <c r="J36" s="17"/>
      <c r="K36" s="17"/>
      <c r="L36" s="17"/>
      <c r="M36" s="17"/>
    </row>
    <row r="37" spans="1:13" ht="12.75" hidden="1">
      <c r="A37" s="113"/>
      <c r="B37" s="113" t="s">
        <v>17</v>
      </c>
      <c r="C37" s="113"/>
      <c r="D37" s="109"/>
      <c r="E37" s="16"/>
      <c r="F37" s="17"/>
      <c r="G37" s="17"/>
      <c r="H37" s="17"/>
      <c r="I37" s="17"/>
      <c r="J37" s="17"/>
      <c r="K37" s="17"/>
      <c r="L37" s="17"/>
      <c r="M37" s="17"/>
    </row>
    <row r="38" spans="1:13" ht="5.25" customHeight="1" hidden="1">
      <c r="A38" s="17"/>
      <c r="B38" s="17"/>
      <c r="C38" s="113"/>
      <c r="D38" s="109"/>
      <c r="E38" s="16"/>
      <c r="F38" s="17"/>
      <c r="G38" s="17"/>
      <c r="H38" s="17"/>
      <c r="I38" s="17"/>
      <c r="J38" s="17"/>
      <c r="K38" s="17"/>
      <c r="L38" s="17"/>
      <c r="M38" s="17"/>
    </row>
    <row r="39" spans="1:4" ht="12.75" hidden="1">
      <c r="A39" s="330" t="s">
        <v>18</v>
      </c>
      <c r="B39" s="331">
        <f>F118+F125</f>
        <v>0</v>
      </c>
      <c r="C39" s="331">
        <f>J118+J125</f>
        <v>0</v>
      </c>
      <c r="D39" s="331">
        <f>N118+N125</f>
        <v>0</v>
      </c>
    </row>
    <row r="40" spans="1:4" ht="12.75" hidden="1">
      <c r="A40" s="330" t="s">
        <v>19</v>
      </c>
      <c r="B40" s="331">
        <f>SUM(C126:F126)+SUM(C119:F119)</f>
        <v>0</v>
      </c>
      <c r="C40" s="331">
        <f>SUM(G119:J119)+SUM(G126:J126)</f>
        <v>0</v>
      </c>
      <c r="D40" s="331">
        <f>SUM(K119:N119)+SUM(K126:N126)</f>
        <v>0</v>
      </c>
    </row>
    <row r="41" spans="1:4" ht="12.75" hidden="1">
      <c r="A41" s="330" t="s">
        <v>20</v>
      </c>
      <c r="B41" s="331">
        <f>D115+D122</f>
        <v>0</v>
      </c>
      <c r="C41" s="111"/>
      <c r="D41" s="111"/>
    </row>
    <row r="42" ht="12.75" hidden="1"/>
    <row r="43" spans="1:3" ht="20.25">
      <c r="A43" s="112"/>
      <c r="B43" s="163" t="s">
        <v>22</v>
      </c>
      <c r="C43" s="118"/>
    </row>
    <row r="44" spans="1:14" ht="11.25" customHeight="1">
      <c r="A44" s="15"/>
      <c r="B44" s="17"/>
      <c r="C44" s="17"/>
      <c r="D44" s="17"/>
      <c r="E44" s="17"/>
      <c r="F44" s="17"/>
      <c r="G44" s="17"/>
      <c r="H44" s="18"/>
      <c r="I44" s="15"/>
      <c r="J44" s="15"/>
      <c r="K44" s="15"/>
      <c r="L44" s="15"/>
      <c r="M44" s="15"/>
      <c r="N44" s="15"/>
    </row>
    <row r="45" spans="1:14" ht="12.75">
      <c r="A45" s="72"/>
      <c r="B45" s="330" t="s">
        <v>2</v>
      </c>
      <c r="C45" s="330" t="s">
        <v>3</v>
      </c>
      <c r="D45" s="330" t="s">
        <v>4</v>
      </c>
      <c r="E45" s="330" t="s">
        <v>5</v>
      </c>
      <c r="F45" s="330" t="s">
        <v>6</v>
      </c>
      <c r="G45" s="330" t="s">
        <v>7</v>
      </c>
      <c r="H45" s="330" t="s">
        <v>8</v>
      </c>
      <c r="I45" s="330" t="s">
        <v>9</v>
      </c>
      <c r="J45" s="330" t="s">
        <v>10</v>
      </c>
      <c r="K45" s="330" t="s">
        <v>11</v>
      </c>
      <c r="L45" s="330" t="s">
        <v>12</v>
      </c>
      <c r="M45" s="330" t="s">
        <v>13</v>
      </c>
      <c r="N45" s="15"/>
    </row>
    <row r="46" spans="1:14" ht="12.75">
      <c r="A46" s="329" t="s">
        <v>14</v>
      </c>
      <c r="B46" s="331">
        <f>('Poliof40 - LIVROB'!$E$73*B6+'Poliof40 - LIVROB'!$J$70*B33)/1000</f>
        <v>131.83432000000002</v>
      </c>
      <c r="C46" s="331">
        <f>('Poliof40 - LIVROB'!$E$73*C6+'Poliof40 - LIVROB'!$J$70*C33)/1000</f>
        <v>138.2134</v>
      </c>
      <c r="D46" s="331">
        <f>('Poliof40 - LIVROB'!$E$73*D6+'Poliof40 - LIVROB'!$J$70*D33)/1000</f>
        <v>148.8452</v>
      </c>
      <c r="E46" s="331">
        <f>('Poliof40 - LIVROB'!$E$73*E6+'Poliof40 - LIVROB'!$J$70*E33)/1000</f>
        <v>143.5293</v>
      </c>
      <c r="F46" s="331">
        <f>('Poliof40 - LIVROB'!$E$73*F6+'Poliof40 - LIVROB'!$J$70*F33)/1000</f>
        <v>154.1611</v>
      </c>
      <c r="G46" s="331">
        <f>('Poliof40 - LIVROB'!$E$73*G6+'Poliof40 - LIVROB'!$J$70*G33)/1000</f>
        <v>143.5293</v>
      </c>
      <c r="H46" s="331">
        <f>('Poliof40 - LIVROB'!$E$73*H6+'Poliof40 - LIVROB'!$J$70*H33)/1000</f>
        <v>154.1611</v>
      </c>
      <c r="I46" s="331">
        <f>('Poliof40 - LIVROB'!$E$73*I6+'Poliof40 - LIVROB'!$J$70*I33)/1000</f>
        <v>143.5293</v>
      </c>
      <c r="J46" s="331">
        <f>('Poliof40 - LIVROB'!$E$73*J6+'Poliof40 - LIVROB'!$J$70*J33)/1000</f>
        <v>154.1611</v>
      </c>
      <c r="K46" s="331">
        <f>('Poliof40 - LIVROB'!$E$73*K6+'Poliof40 - LIVROB'!$J$70*K33)/1000</f>
        <v>138.2134</v>
      </c>
      <c r="L46" s="331">
        <f>('Poliof40 - LIVROB'!$E$73*L6+'Poliof40 - LIVROB'!$J$70*L33)/1000</f>
        <v>159.477</v>
      </c>
      <c r="M46" s="331">
        <f>('Poliof40 - LIVROB'!$E$73*M6+'Poliof40 - LIVROB'!$J$70*M33)/1000</f>
        <v>143.5293</v>
      </c>
      <c r="N46" s="15"/>
    </row>
    <row r="47" spans="1:14" ht="12.75">
      <c r="A47" s="330" t="s">
        <v>15</v>
      </c>
      <c r="B47" s="331">
        <f>('Poliof40 - LIVROB'!$E$73*B7+'Poliof40 - LIVROB'!$J$70*B34)/1000</f>
        <v>68.57511</v>
      </c>
      <c r="C47" s="331">
        <f>('Poliof40 - LIVROB'!$E$73*C7+'Poliof40 - LIVROB'!$J$70*C34)/1000</f>
        <v>63.25921</v>
      </c>
      <c r="D47" s="331">
        <f>('Poliof40 - LIVROB'!$E$73*D7+'Poliof40 - LIVROB'!$J$70*D34)/1000</f>
        <v>47.311510000000006</v>
      </c>
      <c r="E47" s="331">
        <f>('Poliof40 - LIVROB'!$E$73*E7+'Poliof40 - LIVROB'!$J$70*E34)/1000</f>
        <v>52.627410000000005</v>
      </c>
      <c r="F47" s="331">
        <f>('Poliof40 - LIVROB'!$E$73*F7+'Poliof40 - LIVROB'!$J$70*F34)/1000</f>
        <v>47.311510000000006</v>
      </c>
      <c r="G47" s="331">
        <f>('Poliof40 - LIVROB'!$E$73*G7+'Poliof40 - LIVROB'!$J$70*G34)/1000</f>
        <v>52.627410000000005</v>
      </c>
      <c r="H47" s="331">
        <f>('Poliof40 - LIVROB'!$E$73*H7+'Poliof40 - LIVROB'!$J$70*H34)/1000</f>
        <v>47.311510000000006</v>
      </c>
      <c r="I47" s="331">
        <f>('Poliof40 - LIVROB'!$E$73*I7+'Poliof40 - LIVROB'!$J$70*I34)/1000</f>
        <v>52.627410000000005</v>
      </c>
      <c r="J47" s="331">
        <f>('Poliof40 - LIVROB'!$E$73*J7+'Poliof40 - LIVROB'!$J$70*J34)/1000</f>
        <v>47.311510000000006</v>
      </c>
      <c r="K47" s="331">
        <f>('Poliof40 - LIVROB'!$E$73*K7+'Poliof40 - LIVROB'!$J$70*K34)/1000</f>
        <v>57.943310000000004</v>
      </c>
      <c r="L47" s="331">
        <f>('Poliof40 - LIVROB'!$E$73*L7+'Poliof40 - LIVROB'!$J$70*L34)/1000</f>
        <v>47.311510000000006</v>
      </c>
      <c r="M47" s="331">
        <f>('Poliof40 - LIVROB'!$E$73*M7+'Poliof40 - LIVROB'!$J$70*M34)/1000</f>
        <v>52.627410000000005</v>
      </c>
      <c r="N47" s="15"/>
    </row>
    <row r="48" spans="1:14" ht="12.75">
      <c r="A48" s="330" t="s">
        <v>16</v>
      </c>
      <c r="B48" s="331">
        <f>('Poliof40 - LIVROB'!$E$73*B8+'Poliof40 - LIVROB'!$J$70*B35)/1000</f>
        <v>116.9498</v>
      </c>
      <c r="C48" s="331">
        <f>('Poliof40 - LIVROB'!$E$73*C8+'Poliof40 - LIVROB'!$J$70*C35)/1000</f>
        <v>132.8975</v>
      </c>
      <c r="D48" s="331">
        <f>('Poliof40 - LIVROB'!$E$73*D8+'Poliof40 - LIVROB'!$J$70*D35)/1000</f>
        <v>132.8975</v>
      </c>
      <c r="E48" s="331">
        <f>('Poliof40 - LIVROB'!$E$73*E8+'Poliof40 - LIVROB'!$J$70*E35)/1000</f>
        <v>148.8452</v>
      </c>
      <c r="F48" s="331">
        <f>('Poliof40 - LIVROB'!$E$73*F8+'Poliof40 - LIVROB'!$J$70*F35)/1000</f>
        <v>148.8452</v>
      </c>
      <c r="G48" s="331">
        <f>('Poliof40 - LIVROB'!$E$73*G8+'Poliof40 - LIVROB'!$J$70*G35)/1000</f>
        <v>148.8452</v>
      </c>
      <c r="H48" s="331">
        <f>('Poliof40 - LIVROB'!$E$73*H8+'Poliof40 - LIVROB'!$J$70*H35)/1000</f>
        <v>148.8452</v>
      </c>
      <c r="I48" s="331">
        <f>('Poliof40 - LIVROB'!$E$73*I8+'Poliof40 - LIVROB'!$J$70*I35)/1000</f>
        <v>148.8452</v>
      </c>
      <c r="J48" s="331">
        <f>('Poliof40 - LIVROB'!$E$73*J8+'Poliof40 - LIVROB'!$J$70*J35)/1000</f>
        <v>148.8452</v>
      </c>
      <c r="K48" s="331">
        <f>('Poliof40 - LIVROB'!$E$73*K8+'Poliof40 - LIVROB'!$J$70*K35)/1000</f>
        <v>148.8452</v>
      </c>
      <c r="L48" s="331">
        <f>('Poliof40 - LIVROB'!$E$73*L8+'Poliof40 - LIVROB'!$J$70*L35)/1000</f>
        <v>148.8452</v>
      </c>
      <c r="M48" s="331">
        <f>('Poliof40 - LIVROB'!$E$73*M8+'Poliof40 - LIVROB'!$J$70*M35)/1000</f>
        <v>148.8452</v>
      </c>
      <c r="N48" s="15"/>
    </row>
    <row r="49" spans="1:14" ht="12.75">
      <c r="A49" s="17"/>
      <c r="B49" s="17"/>
      <c r="C49" s="113"/>
      <c r="D49" s="15"/>
      <c r="E49" s="15"/>
      <c r="F49" s="15"/>
      <c r="G49" s="15"/>
      <c r="H49" s="17"/>
      <c r="I49" s="17"/>
      <c r="J49" s="17"/>
      <c r="K49" s="17"/>
      <c r="L49" s="17"/>
      <c r="M49" s="17"/>
      <c r="N49" s="16" t="s">
        <v>0</v>
      </c>
    </row>
    <row r="50" spans="1:14" ht="12.75">
      <c r="A50" s="17"/>
      <c r="B50" s="112" t="s">
        <v>23</v>
      </c>
      <c r="C50" s="113"/>
      <c r="H50" s="17"/>
      <c r="I50" s="17"/>
      <c r="J50" s="17"/>
      <c r="K50" s="17"/>
      <c r="L50" s="17"/>
      <c r="M50" s="17"/>
      <c r="N50" s="16"/>
    </row>
    <row r="51" spans="1:14" ht="12.75">
      <c r="A51" s="17"/>
      <c r="B51" s="17"/>
      <c r="C51" s="113"/>
      <c r="H51" s="17"/>
      <c r="I51" s="17"/>
      <c r="J51" s="17"/>
      <c r="K51" s="17"/>
      <c r="L51" s="17"/>
      <c r="M51" s="17"/>
      <c r="N51" s="16"/>
    </row>
    <row r="52" spans="1:4" ht="12.75">
      <c r="A52" s="330" t="s">
        <v>18</v>
      </c>
      <c r="B52" s="331">
        <f>('Poliof40 - LIVROB'!$E$68*F83+'Poliof40 - LIVROB'!$E$69*F90+'Poliof40 - LIVROB'!$E$70*F97+'Poliof40 - LIVROB'!$E$71*F104+'Poliof40 - LIVROB'!$E$72*F111+'Poliof40 - LIVROB'!$J$68*F118+'Poliof40 - LIVROB'!$J$69*F125)/1000</f>
        <v>69.386</v>
      </c>
      <c r="C52" s="331">
        <f>('Poliof40 - LIVROB'!$E$68*J83+'Poliof40 - LIVROB'!$E$69*J90+'Poliof40 - LIVROB'!$E$70*J97+'Poliof40 - LIVROB'!$E$71*J104+'Poliof40 - LIVROB'!$E$72*J111+'Poliof40 - LIVROB'!$J$68*J118+'Poliof40 - LIVROB'!$J$69*J125)/1000</f>
        <v>77.981</v>
      </c>
      <c r="D52" s="331">
        <f>('Poliof40 - LIVROB'!$E$68*N83+'Poliof40 - LIVROB'!$E$69*N90+'Poliof40 - LIVROB'!$E$70*N97+'Poliof40 - LIVROB'!$E$71*N104+'Poliof40 - LIVROB'!$E$72*N111+'Poliof40 - LIVROB'!$J$68*N118+'Poliof40 - LIVROB'!$J$69*N125)/1000</f>
        <v>85.985</v>
      </c>
    </row>
    <row r="53" spans="1:4" ht="12.75">
      <c r="A53" s="330" t="s">
        <v>19</v>
      </c>
      <c r="B53" s="331">
        <f>('Poliof40 - LIVROB'!$E$68*SUM(C84:F84)+'Poliof40 - LIVROB'!$E$69*SUM(C91:F91)+'Poliof40 - LIVROB'!$E$70*SUM(C98:F98)+'Poliof40 - LIVROB'!$E$71*SUM(C105:F105)+'Poliof40 - LIVROB'!$E$72*SUM(C112:F112)+'Poliof40 - LIVROB'!$J$68*SUM(C119:F119)+'Poliof40 - LIVROB'!$J$69*SUM(C126:F126))/1000</f>
        <v>116.404</v>
      </c>
      <c r="C53" s="331">
        <f>('Poliof40 - LIVROB'!$E$68*SUM(G84:J84)+'Poliof40 - LIVROB'!$E$69*SUM(G91:J91)+'Poliof40 - LIVROB'!$E$70*SUM(G98:J98)+'Poliof40 - LIVROB'!$E$71*SUM(G105:J105)+'Poliof40 - LIVROB'!$E$72*SUM(G112:J112)+'Poliof40 - LIVROB'!$J$68*SUM(G119:J119)+'Poliof40 - LIVROB'!$J$69*SUM(G126:J126))/1000</f>
        <v>145.172</v>
      </c>
      <c r="D53" s="331">
        <f>('Poliof40 - LIVROB'!$E$68*SUM(K84:N84)+'Poliof40 - LIVROB'!$E$69*SUM(K91:N91)+'Poliof40 - LIVROB'!$E$70*SUM(K98:N98)+'Poliof40 - LIVROB'!$E$71*SUM(K105:N105)+'Poliof40 - LIVROB'!$E$72*SUM(K112:N112)+'Poliof40 - LIVROB'!$J$68*SUM(K119:N119)+'Poliof40 - LIVROB'!$J$69*SUM(K126:N126))/1000</f>
        <v>157.125</v>
      </c>
    </row>
    <row r="54" spans="1:4" ht="12.75">
      <c r="A54" s="330" t="s">
        <v>20</v>
      </c>
      <c r="B54" s="331">
        <f>('Poliof40 - LIVROB'!$E$68*B83+'Poliof40 - LIVROB'!$E$69*B90+'Poliof40 - LIVROB'!$E$70*B97+'Poliof40 - LIVROB'!$E$71*B104+'Poliof40 - LIVROB'!$E$72*B111+'Poliof40 - LIVROB'!$J$68*B118+'Poliof40 - LIVROB'!$J$69*B125)/1000</f>
        <v>84.598</v>
      </c>
      <c r="C54" s="111"/>
      <c r="D54" s="111"/>
    </row>
    <row r="55" ht="13.5" thickBot="1"/>
    <row r="56" s="116" customFormat="1" ht="14.25" thickBot="1" thickTop="1">
      <c r="O56" s="227"/>
    </row>
    <row r="57" spans="1:15" s="15" customFormat="1" ht="21" thickBot="1">
      <c r="A57" s="155"/>
      <c r="B57" s="314" t="s">
        <v>24</v>
      </c>
      <c r="C57" s="316"/>
      <c r="D57" s="316"/>
      <c r="E57" s="321"/>
      <c r="O57" s="222"/>
    </row>
    <row r="58" spans="1:15" s="15" customFormat="1" ht="12" customHeight="1" thickBot="1">
      <c r="A58" s="72"/>
      <c r="B58" s="72"/>
      <c r="C58" s="72"/>
      <c r="D58" s="72"/>
      <c r="E58" s="72"/>
      <c r="F58" s="72"/>
      <c r="G58" s="72"/>
      <c r="H58" s="72"/>
      <c r="I58" s="72"/>
      <c r="J58" s="72"/>
      <c r="O58" s="222"/>
    </row>
    <row r="59" spans="1:15" s="15" customFormat="1" ht="12.75">
      <c r="A59" s="114"/>
      <c r="B59" s="213" t="s">
        <v>313</v>
      </c>
      <c r="C59" s="166"/>
      <c r="D59" s="107"/>
      <c r="E59" s="107"/>
      <c r="F59" s="107"/>
      <c r="G59" s="394"/>
      <c r="H59" s="394"/>
      <c r="I59" s="394"/>
      <c r="J59" s="394"/>
      <c r="K59" s="107"/>
      <c r="L59" s="395"/>
      <c r="M59" s="211"/>
      <c r="O59" s="222"/>
    </row>
    <row r="60" spans="1:15" s="15" customFormat="1" ht="6" customHeight="1">
      <c r="A60" s="114"/>
      <c r="B60" s="396"/>
      <c r="C60" s="397"/>
      <c r="D60" s="398"/>
      <c r="E60" s="399"/>
      <c r="F60" s="398"/>
      <c r="G60" s="400"/>
      <c r="H60" s="400"/>
      <c r="I60" s="400"/>
      <c r="J60" s="400"/>
      <c r="K60" s="400"/>
      <c r="L60" s="401"/>
      <c r="M60" s="211"/>
      <c r="O60" s="222"/>
    </row>
    <row r="61" spans="1:15" s="15" customFormat="1" ht="12.75">
      <c r="A61" s="114"/>
      <c r="B61" s="396"/>
      <c r="C61" s="400"/>
      <c r="D61" s="397"/>
      <c r="E61" s="402" t="s">
        <v>25</v>
      </c>
      <c r="F61" s="403" t="s">
        <v>26</v>
      </c>
      <c r="G61" s="404" t="s">
        <v>27</v>
      </c>
      <c r="H61" s="403" t="s">
        <v>28</v>
      </c>
      <c r="I61" s="403" t="s">
        <v>29</v>
      </c>
      <c r="J61" s="400"/>
      <c r="K61" s="400"/>
      <c r="L61" s="401"/>
      <c r="M61" s="211"/>
      <c r="O61" s="222"/>
    </row>
    <row r="62" spans="1:15" s="15" customFormat="1" ht="12.75">
      <c r="A62" s="114"/>
      <c r="B62" s="396"/>
      <c r="C62" s="400"/>
      <c r="D62" s="405" t="s">
        <v>30</v>
      </c>
      <c r="E62" s="352">
        <v>0.44</v>
      </c>
      <c r="F62" s="352">
        <v>0.28</v>
      </c>
      <c r="G62" s="352">
        <v>0.19</v>
      </c>
      <c r="H62" s="352">
        <v>0.09</v>
      </c>
      <c r="I62" s="406">
        <f>SUM(E62:H62)</f>
        <v>0.9999999999999999</v>
      </c>
      <c r="J62" s="400"/>
      <c r="K62" s="400"/>
      <c r="L62" s="401"/>
      <c r="M62" s="211"/>
      <c r="O62" s="222"/>
    </row>
    <row r="63" spans="1:15" s="15" customFormat="1" ht="5.25" customHeight="1" thickBot="1">
      <c r="A63" s="114"/>
      <c r="B63" s="407"/>
      <c r="C63" s="408"/>
      <c r="D63" s="408"/>
      <c r="E63" s="408"/>
      <c r="F63" s="409"/>
      <c r="G63" s="409"/>
      <c r="H63" s="409"/>
      <c r="I63" s="409"/>
      <c r="J63" s="409"/>
      <c r="K63" s="409"/>
      <c r="L63" s="410"/>
      <c r="M63" s="211"/>
      <c r="O63" s="222"/>
    </row>
    <row r="64" spans="1:15" s="15" customFormat="1" ht="12" customHeight="1" thickBot="1">
      <c r="A64" s="72"/>
      <c r="B64" s="72"/>
      <c r="C64" s="72"/>
      <c r="D64" s="72"/>
      <c r="E64" s="114"/>
      <c r="F64" s="114"/>
      <c r="G64" s="114"/>
      <c r="H64" s="114"/>
      <c r="I64" s="114"/>
      <c r="J64" s="114"/>
      <c r="K64" s="114"/>
      <c r="L64" s="114"/>
      <c r="M64" s="211"/>
      <c r="O64" s="222"/>
    </row>
    <row r="65" spans="1:15" s="15" customFormat="1" ht="12.75">
      <c r="A65" s="114"/>
      <c r="B65" s="411" t="s">
        <v>314</v>
      </c>
      <c r="C65" s="412"/>
      <c r="D65" s="166"/>
      <c r="E65" s="107"/>
      <c r="F65" s="107"/>
      <c r="G65" s="107"/>
      <c r="H65" s="394"/>
      <c r="I65" s="394"/>
      <c r="J65" s="394"/>
      <c r="K65" s="394"/>
      <c r="L65" s="413"/>
      <c r="M65" s="211"/>
      <c r="O65" s="222"/>
    </row>
    <row r="66" spans="1:15" s="15" customFormat="1" ht="6" customHeight="1">
      <c r="A66" s="114"/>
      <c r="B66" s="414"/>
      <c r="C66" s="415"/>
      <c r="D66" s="416"/>
      <c r="E66" s="417"/>
      <c r="F66" s="417"/>
      <c r="G66" s="417"/>
      <c r="H66" s="418"/>
      <c r="I66" s="418"/>
      <c r="J66" s="419"/>
      <c r="K66" s="419"/>
      <c r="L66" s="401"/>
      <c r="M66" s="211"/>
      <c r="O66" s="222"/>
    </row>
    <row r="67" spans="1:15" s="15" customFormat="1" ht="25.5" customHeight="1">
      <c r="A67" s="114"/>
      <c r="B67" s="396"/>
      <c r="C67" s="420" t="s">
        <v>31</v>
      </c>
      <c r="D67" s="421" t="s">
        <v>32</v>
      </c>
      <c r="E67" s="422" t="s">
        <v>33</v>
      </c>
      <c r="F67" s="418"/>
      <c r="G67" s="400"/>
      <c r="H67" s="420" t="s">
        <v>31</v>
      </c>
      <c r="I67" s="421" t="s">
        <v>32</v>
      </c>
      <c r="J67" s="422" t="s">
        <v>33</v>
      </c>
      <c r="K67" s="418"/>
      <c r="L67" s="401"/>
      <c r="M67" s="211"/>
      <c r="O67" s="222"/>
    </row>
    <row r="68" spans="1:15" s="15" customFormat="1" ht="12.75">
      <c r="A68" s="114"/>
      <c r="B68" s="396"/>
      <c r="C68" s="420" t="s">
        <v>34</v>
      </c>
      <c r="D68" s="352">
        <v>0.19</v>
      </c>
      <c r="E68" s="423">
        <v>565</v>
      </c>
      <c r="F68" s="424"/>
      <c r="G68" s="400"/>
      <c r="H68" s="420" t="s">
        <v>35</v>
      </c>
      <c r="I68" s="425"/>
      <c r="J68" s="423">
        <v>225</v>
      </c>
      <c r="K68" s="424"/>
      <c r="L68" s="401"/>
      <c r="M68" s="211"/>
      <c r="O68" s="222"/>
    </row>
    <row r="69" spans="1:15" s="15" customFormat="1" ht="12.75">
      <c r="A69" s="114"/>
      <c r="B69" s="396"/>
      <c r="C69" s="420" t="s">
        <v>36</v>
      </c>
      <c r="D69" s="352">
        <v>0.1</v>
      </c>
      <c r="E69" s="423">
        <v>1216</v>
      </c>
      <c r="F69" s="424"/>
      <c r="G69" s="400"/>
      <c r="H69" s="420" t="s">
        <v>37</v>
      </c>
      <c r="I69" s="425"/>
      <c r="J69" s="423">
        <v>110</v>
      </c>
      <c r="K69" s="424"/>
      <c r="L69" s="401"/>
      <c r="M69" s="211"/>
      <c r="O69" s="222"/>
    </row>
    <row r="70" spans="1:15" s="15" customFormat="1" ht="12.75">
      <c r="A70" s="114"/>
      <c r="B70" s="396"/>
      <c r="C70" s="420" t="s">
        <v>38</v>
      </c>
      <c r="D70" s="352">
        <v>0.24</v>
      </c>
      <c r="E70" s="423">
        <v>251</v>
      </c>
      <c r="F70" s="424"/>
      <c r="G70" s="400"/>
      <c r="H70" s="426" t="s">
        <v>39</v>
      </c>
      <c r="I70" s="406">
        <f>SUM(I68:I69)</f>
        <v>0</v>
      </c>
      <c r="J70" s="427">
        <f>I68*J68+I69*J69</f>
        <v>0</v>
      </c>
      <c r="K70" s="424"/>
      <c r="L70" s="401"/>
      <c r="M70" s="211"/>
      <c r="O70" s="222"/>
    </row>
    <row r="71" spans="1:15" s="15" customFormat="1" ht="12.75">
      <c r="A71" s="114"/>
      <c r="B71" s="396"/>
      <c r="C71" s="420" t="s">
        <v>40</v>
      </c>
      <c r="D71" s="352">
        <v>0.22</v>
      </c>
      <c r="E71" s="423">
        <v>470</v>
      </c>
      <c r="F71" s="424"/>
      <c r="G71" s="419"/>
      <c r="H71" s="428"/>
      <c r="I71" s="419"/>
      <c r="J71" s="400"/>
      <c r="K71" s="400"/>
      <c r="L71" s="401"/>
      <c r="M71" s="211"/>
      <c r="O71" s="222"/>
    </row>
    <row r="72" spans="1:15" s="15" customFormat="1" ht="12.75">
      <c r="A72" s="114"/>
      <c r="B72" s="396"/>
      <c r="C72" s="420" t="s">
        <v>41</v>
      </c>
      <c r="D72" s="352">
        <v>0.25</v>
      </c>
      <c r="E72" s="423">
        <v>556</v>
      </c>
      <c r="F72" s="424"/>
      <c r="G72" s="419"/>
      <c r="H72" s="428"/>
      <c r="I72" s="419"/>
      <c r="J72" s="400"/>
      <c r="K72" s="400"/>
      <c r="L72" s="401"/>
      <c r="M72" s="211"/>
      <c r="O72" s="222"/>
    </row>
    <row r="73" spans="1:15" s="15" customFormat="1" ht="12.75">
      <c r="A73" s="114"/>
      <c r="B73" s="396"/>
      <c r="C73" s="426" t="s">
        <v>39</v>
      </c>
      <c r="D73" s="406">
        <f>SUM(D68:D72)</f>
        <v>1</v>
      </c>
      <c r="E73" s="427">
        <f>(D68*E68)+D69*E69+D70*E70+D71*E71+D72*E72</f>
        <v>531.59</v>
      </c>
      <c r="F73" s="424"/>
      <c r="G73" s="419"/>
      <c r="H73" s="428"/>
      <c r="I73" s="419"/>
      <c r="J73" s="400"/>
      <c r="K73" s="400"/>
      <c r="L73" s="401"/>
      <c r="M73" s="211"/>
      <c r="O73" s="222"/>
    </row>
    <row r="74" spans="1:15" s="15" customFormat="1" ht="5.25" customHeight="1" thickBot="1">
      <c r="A74" s="114"/>
      <c r="B74" s="429"/>
      <c r="C74" s="430"/>
      <c r="D74" s="431"/>
      <c r="E74" s="409"/>
      <c r="F74" s="432"/>
      <c r="G74" s="409"/>
      <c r="H74" s="433"/>
      <c r="I74" s="432"/>
      <c r="J74" s="409"/>
      <c r="K74" s="409"/>
      <c r="L74" s="410"/>
      <c r="M74" s="211"/>
      <c r="O74" s="222"/>
    </row>
    <row r="75" spans="1:15" s="15" customFormat="1" ht="13.5" thickBot="1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2"/>
      <c r="O75" s="222"/>
    </row>
    <row r="76" spans="1:15" s="116" customFormat="1" ht="14.25" thickBot="1" thickTop="1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227"/>
    </row>
    <row r="77" spans="2:8" ht="21" thickBot="1">
      <c r="B77" s="319" t="s">
        <v>42</v>
      </c>
      <c r="C77" s="320"/>
      <c r="D77" s="316"/>
      <c r="E77" s="316"/>
      <c r="F77" s="316"/>
      <c r="G77" s="317"/>
      <c r="H77" s="318"/>
    </row>
    <row r="78" spans="3:7" ht="12.75">
      <c r="C78" s="17"/>
      <c r="D78" s="17"/>
      <c r="E78" s="17"/>
      <c r="F78" s="17"/>
      <c r="G78" s="18"/>
    </row>
    <row r="79" ht="12.75"/>
    <row r="80" spans="3:10" ht="12.75">
      <c r="C80" s="329" t="s">
        <v>43</v>
      </c>
      <c r="D80" s="334">
        <f>'Poliof40 - LIVROB'!$B$940</f>
        <v>27</v>
      </c>
      <c r="E80" s="117" t="s">
        <v>0</v>
      </c>
      <c r="F80" s="329" t="s">
        <v>44</v>
      </c>
      <c r="G80" s="335">
        <f>1-'Poliof40 - LIVROB'!$D$537</f>
        <v>0.9299999999999999</v>
      </c>
      <c r="I80" s="16" t="s">
        <v>0</v>
      </c>
      <c r="J80" s="110" t="s">
        <v>0</v>
      </c>
    </row>
    <row r="81" spans="1:14" ht="12.75">
      <c r="A81" s="360" t="s">
        <v>45</v>
      </c>
      <c r="B81" s="330" t="s">
        <v>46</v>
      </c>
      <c r="C81" s="330" t="s">
        <v>25</v>
      </c>
      <c r="D81" s="330" t="s">
        <v>26</v>
      </c>
      <c r="E81" s="330" t="s">
        <v>27</v>
      </c>
      <c r="F81" s="330" t="s">
        <v>28</v>
      </c>
      <c r="G81" s="330" t="s">
        <v>47</v>
      </c>
      <c r="H81" s="330" t="s">
        <v>48</v>
      </c>
      <c r="I81" s="330" t="s">
        <v>49</v>
      </c>
      <c r="J81" s="330" t="s">
        <v>50</v>
      </c>
      <c r="K81" s="330" t="s">
        <v>51</v>
      </c>
      <c r="L81" s="330" t="s">
        <v>52</v>
      </c>
      <c r="M81" s="330" t="s">
        <v>53</v>
      </c>
      <c r="N81" s="330" t="s">
        <v>54</v>
      </c>
    </row>
    <row r="82" spans="1:14" ht="12.75">
      <c r="A82" s="330" t="s">
        <v>14</v>
      </c>
      <c r="B82" s="336"/>
      <c r="C82" s="331">
        <f>ROUND($B$6*E$62*$D$68,0)</f>
        <v>21</v>
      </c>
      <c r="D82" s="331">
        <f>ROUND($B$6*F$62*$D$68,0)</f>
        <v>13</v>
      </c>
      <c r="E82" s="331">
        <f>ROUND($B$6*G$62*$D$68,0)</f>
        <v>9</v>
      </c>
      <c r="F82" s="331">
        <f>ROUND($B$6*H$62*$D$68,0)</f>
        <v>4</v>
      </c>
      <c r="G82" s="331">
        <f>ROUND($C$6*E$62*$D$68,0)</f>
        <v>22</v>
      </c>
      <c r="H82" s="331">
        <f>ROUND($C$6*F$62*$D$68,0)</f>
        <v>14</v>
      </c>
      <c r="I82" s="331">
        <f>ROUND($C$6*G$62*$D$68,0)</f>
        <v>9</v>
      </c>
      <c r="J82" s="331">
        <f>ROUND($C$6*H$62*$D$68,0)</f>
        <v>4</v>
      </c>
      <c r="K82" s="331">
        <f>ROUND($D$6*E$62*$D$68,0)</f>
        <v>23</v>
      </c>
      <c r="L82" s="331">
        <f>ROUND($D$6*F$62*$D$68,0)</f>
        <v>15</v>
      </c>
      <c r="M82" s="331">
        <f>ROUND($D$6*G$62*$D$68,0)</f>
        <v>10</v>
      </c>
      <c r="N82" s="331">
        <f>ROUND($D$6*H$62*$D$68,0)</f>
        <v>5</v>
      </c>
    </row>
    <row r="83" spans="1:14" ht="12.75">
      <c r="A83" s="330" t="s">
        <v>55</v>
      </c>
      <c r="B83" s="331">
        <f>D80</f>
        <v>27</v>
      </c>
      <c r="C83" s="331">
        <f aca="true" t="shared" si="2" ref="C83:N83">B83+C84-C82</f>
        <v>21</v>
      </c>
      <c r="D83" s="331">
        <f t="shared" si="2"/>
        <v>23</v>
      </c>
      <c r="E83" s="331">
        <f t="shared" si="2"/>
        <v>24</v>
      </c>
      <c r="F83" s="331">
        <f t="shared" si="2"/>
        <v>30</v>
      </c>
      <c r="G83" s="331">
        <f t="shared" si="2"/>
        <v>23</v>
      </c>
      <c r="H83" s="331">
        <f t="shared" si="2"/>
        <v>24</v>
      </c>
      <c r="I83" s="331">
        <f t="shared" si="2"/>
        <v>25</v>
      </c>
      <c r="J83" s="331">
        <f t="shared" si="2"/>
        <v>36</v>
      </c>
      <c r="K83" s="331">
        <f t="shared" si="2"/>
        <v>28</v>
      </c>
      <c r="L83" s="331">
        <f t="shared" si="2"/>
        <v>28</v>
      </c>
      <c r="M83" s="331">
        <f t="shared" si="2"/>
        <v>33</v>
      </c>
      <c r="N83" s="331">
        <f t="shared" si="2"/>
        <v>38</v>
      </c>
    </row>
    <row r="84" spans="1:14" ht="12.75">
      <c r="A84" s="330" t="s">
        <v>56</v>
      </c>
      <c r="B84" s="334"/>
      <c r="C84" s="34">
        <v>15</v>
      </c>
      <c r="D84" s="34">
        <v>15</v>
      </c>
      <c r="E84" s="34">
        <v>10</v>
      </c>
      <c r="F84" s="34">
        <v>10</v>
      </c>
      <c r="G84" s="34">
        <v>15</v>
      </c>
      <c r="H84" s="34">
        <v>15</v>
      </c>
      <c r="I84" s="34">
        <v>10</v>
      </c>
      <c r="J84" s="34">
        <v>15</v>
      </c>
      <c r="K84" s="34">
        <v>15</v>
      </c>
      <c r="L84" s="34">
        <v>15</v>
      </c>
      <c r="M84" s="34">
        <v>15</v>
      </c>
      <c r="N84" s="34">
        <v>10</v>
      </c>
    </row>
    <row r="85" spans="1:14" ht="12.75">
      <c r="A85" s="330" t="s">
        <v>57</v>
      </c>
      <c r="B85" s="336"/>
      <c r="C85" s="331">
        <f aca="true" t="shared" si="3" ref="C85:N85">ROUND(IF($G80=0,0,C84/$G80),0)</f>
        <v>16</v>
      </c>
      <c r="D85" s="331">
        <f t="shared" si="3"/>
        <v>16</v>
      </c>
      <c r="E85" s="331">
        <f t="shared" si="3"/>
        <v>11</v>
      </c>
      <c r="F85" s="331">
        <f t="shared" si="3"/>
        <v>11</v>
      </c>
      <c r="G85" s="331">
        <f t="shared" si="3"/>
        <v>16</v>
      </c>
      <c r="H85" s="331">
        <f t="shared" si="3"/>
        <v>16</v>
      </c>
      <c r="I85" s="331">
        <f t="shared" si="3"/>
        <v>11</v>
      </c>
      <c r="J85" s="331">
        <f t="shared" si="3"/>
        <v>16</v>
      </c>
      <c r="K85" s="331">
        <f t="shared" si="3"/>
        <v>16</v>
      </c>
      <c r="L85" s="331">
        <f t="shared" si="3"/>
        <v>16</v>
      </c>
      <c r="M85" s="331">
        <f t="shared" si="3"/>
        <v>16</v>
      </c>
      <c r="N85" s="331">
        <f t="shared" si="3"/>
        <v>11</v>
      </c>
    </row>
    <row r="86" ht="12.75"/>
    <row r="87" spans="3:10" ht="12.75">
      <c r="C87" s="329" t="s">
        <v>43</v>
      </c>
      <c r="D87" s="334">
        <f>'Poliof40 - LIVROB'!$C$940</f>
        <v>6</v>
      </c>
      <c r="E87" s="117" t="s">
        <v>0</v>
      </c>
      <c r="F87" s="329" t="s">
        <v>44</v>
      </c>
      <c r="G87" s="335">
        <f>1-'Poliof40 - LIVROB'!$D$538</f>
        <v>0.9299999999999999</v>
      </c>
      <c r="I87" s="16" t="s">
        <v>0</v>
      </c>
      <c r="J87" s="110" t="s">
        <v>0</v>
      </c>
    </row>
    <row r="88" spans="1:14" ht="12.75">
      <c r="A88" s="360" t="s">
        <v>58</v>
      </c>
      <c r="B88" s="330" t="s">
        <v>46</v>
      </c>
      <c r="C88" s="330" t="s">
        <v>25</v>
      </c>
      <c r="D88" s="330" t="s">
        <v>26</v>
      </c>
      <c r="E88" s="330" t="s">
        <v>27</v>
      </c>
      <c r="F88" s="330" t="s">
        <v>28</v>
      </c>
      <c r="G88" s="330" t="s">
        <v>47</v>
      </c>
      <c r="H88" s="330" t="s">
        <v>48</v>
      </c>
      <c r="I88" s="330" t="s">
        <v>49</v>
      </c>
      <c r="J88" s="330" t="s">
        <v>50</v>
      </c>
      <c r="K88" s="330" t="s">
        <v>51</v>
      </c>
      <c r="L88" s="330" t="s">
        <v>52</v>
      </c>
      <c r="M88" s="330" t="s">
        <v>53</v>
      </c>
      <c r="N88" s="330" t="s">
        <v>54</v>
      </c>
    </row>
    <row r="89" spans="1:14" ht="12.75">
      <c r="A89" s="330" t="s">
        <v>14</v>
      </c>
      <c r="B89" s="336"/>
      <c r="C89" s="331">
        <f>ROUND($B$6*E$62*$D$69,0)</f>
        <v>11</v>
      </c>
      <c r="D89" s="331">
        <f>ROUND($B$6*F$62*$D$69,0)</f>
        <v>7</v>
      </c>
      <c r="E89" s="331">
        <f>ROUND($B$6*G$62*$D$69,0)</f>
        <v>5</v>
      </c>
      <c r="F89" s="331">
        <f>ROUND($B$6*H$62*$D$69,0)</f>
        <v>2</v>
      </c>
      <c r="G89" s="331">
        <f>ROUND($C$6*E$62*$D$69,0)</f>
        <v>11</v>
      </c>
      <c r="H89" s="331">
        <f>ROUND($C$6*F$62*$D$69,0)</f>
        <v>7</v>
      </c>
      <c r="I89" s="331">
        <f>ROUND($C$6*G$62*$D$69,0)</f>
        <v>5</v>
      </c>
      <c r="J89" s="331">
        <f>ROUND($C$6*H$62*$D$69,0)</f>
        <v>2</v>
      </c>
      <c r="K89" s="331">
        <f>ROUND($D$6*E$62*$D$69,0)</f>
        <v>12</v>
      </c>
      <c r="L89" s="331">
        <f>ROUND($D$6*F$62*$D$69,0)</f>
        <v>8</v>
      </c>
      <c r="M89" s="331">
        <f>ROUND($D$6*G$62*$D$69,0)</f>
        <v>5</v>
      </c>
      <c r="N89" s="331">
        <f>ROUND($D$6*H$62*$D$69,0)</f>
        <v>3</v>
      </c>
    </row>
    <row r="90" spans="1:14" ht="12.75">
      <c r="A90" s="330" t="s">
        <v>55</v>
      </c>
      <c r="B90" s="331">
        <f>D87</f>
        <v>6</v>
      </c>
      <c r="C90" s="331">
        <f aca="true" t="shared" si="4" ref="C90:N90">B90+C91-C89</f>
        <v>0</v>
      </c>
      <c r="D90" s="331">
        <f t="shared" si="4"/>
        <v>-2</v>
      </c>
      <c r="E90" s="331">
        <f t="shared" si="4"/>
        <v>-2</v>
      </c>
      <c r="F90" s="331">
        <f t="shared" si="4"/>
        <v>1</v>
      </c>
      <c r="G90" s="331">
        <f t="shared" si="4"/>
        <v>-4</v>
      </c>
      <c r="H90" s="331">
        <f t="shared" si="4"/>
        <v>-5</v>
      </c>
      <c r="I90" s="331">
        <f t="shared" si="4"/>
        <v>-4</v>
      </c>
      <c r="J90" s="331">
        <f t="shared" si="4"/>
        <v>1</v>
      </c>
      <c r="K90" s="331">
        <f t="shared" si="4"/>
        <v>-4</v>
      </c>
      <c r="L90" s="331">
        <f t="shared" si="4"/>
        <v>-5</v>
      </c>
      <c r="M90" s="331">
        <f t="shared" si="4"/>
        <v>-3</v>
      </c>
      <c r="N90" s="331">
        <f t="shared" si="4"/>
        <v>1</v>
      </c>
    </row>
    <row r="91" spans="1:14" ht="12.75">
      <c r="A91" s="330" t="s">
        <v>56</v>
      </c>
      <c r="B91" s="334" t="s">
        <v>0</v>
      </c>
      <c r="C91" s="34">
        <v>5</v>
      </c>
      <c r="D91" s="34">
        <v>5</v>
      </c>
      <c r="E91" s="34">
        <v>5</v>
      </c>
      <c r="F91" s="34">
        <v>5</v>
      </c>
      <c r="G91" s="34">
        <v>6</v>
      </c>
      <c r="H91" s="34">
        <v>6</v>
      </c>
      <c r="I91" s="34">
        <v>6</v>
      </c>
      <c r="J91" s="34">
        <v>7</v>
      </c>
      <c r="K91" s="34">
        <v>7</v>
      </c>
      <c r="L91" s="34">
        <v>7</v>
      </c>
      <c r="M91" s="34">
        <v>7</v>
      </c>
      <c r="N91" s="34">
        <v>7</v>
      </c>
    </row>
    <row r="92" spans="1:14" ht="12.75">
      <c r="A92" s="330" t="s">
        <v>57</v>
      </c>
      <c r="B92" s="336"/>
      <c r="C92" s="331">
        <f aca="true" t="shared" si="5" ref="C92:N92">ROUND(IF($G87=0,0,C91/$G87),0)</f>
        <v>5</v>
      </c>
      <c r="D92" s="331">
        <f t="shared" si="5"/>
        <v>5</v>
      </c>
      <c r="E92" s="331">
        <f t="shared" si="5"/>
        <v>5</v>
      </c>
      <c r="F92" s="331">
        <f t="shared" si="5"/>
        <v>5</v>
      </c>
      <c r="G92" s="331">
        <f t="shared" si="5"/>
        <v>6</v>
      </c>
      <c r="H92" s="331">
        <f t="shared" si="5"/>
        <v>6</v>
      </c>
      <c r="I92" s="331">
        <f t="shared" si="5"/>
        <v>6</v>
      </c>
      <c r="J92" s="331">
        <f t="shared" si="5"/>
        <v>8</v>
      </c>
      <c r="K92" s="331">
        <f t="shared" si="5"/>
        <v>8</v>
      </c>
      <c r="L92" s="331">
        <f t="shared" si="5"/>
        <v>8</v>
      </c>
      <c r="M92" s="331">
        <f t="shared" si="5"/>
        <v>8</v>
      </c>
      <c r="N92" s="331">
        <f t="shared" si="5"/>
        <v>8</v>
      </c>
    </row>
    <row r="93" ht="12.75"/>
    <row r="94" spans="3:10" ht="12.75">
      <c r="C94" s="329" t="s">
        <v>43</v>
      </c>
      <c r="D94" s="334">
        <f>'Poliof40 - LIVROB'!$D$940</f>
        <v>15</v>
      </c>
      <c r="E94" s="117" t="s">
        <v>0</v>
      </c>
      <c r="F94" s="329" t="s">
        <v>44</v>
      </c>
      <c r="G94" s="335">
        <f>1-'Poliof40 - LIVROB'!$D$539</f>
        <v>0.9299999999999999</v>
      </c>
      <c r="I94" s="16" t="s">
        <v>0</v>
      </c>
      <c r="J94" s="110" t="s">
        <v>0</v>
      </c>
    </row>
    <row r="95" spans="1:14" ht="12.75">
      <c r="A95" s="360" t="s">
        <v>59</v>
      </c>
      <c r="B95" s="330" t="s">
        <v>46</v>
      </c>
      <c r="C95" s="330" t="s">
        <v>25</v>
      </c>
      <c r="D95" s="330" t="s">
        <v>26</v>
      </c>
      <c r="E95" s="330" t="s">
        <v>27</v>
      </c>
      <c r="F95" s="330" t="s">
        <v>28</v>
      </c>
      <c r="G95" s="330" t="s">
        <v>47</v>
      </c>
      <c r="H95" s="330" t="s">
        <v>48</v>
      </c>
      <c r="I95" s="330" t="s">
        <v>49</v>
      </c>
      <c r="J95" s="330" t="s">
        <v>50</v>
      </c>
      <c r="K95" s="330" t="s">
        <v>51</v>
      </c>
      <c r="L95" s="330" t="s">
        <v>52</v>
      </c>
      <c r="M95" s="330" t="s">
        <v>53</v>
      </c>
      <c r="N95" s="330" t="s">
        <v>54</v>
      </c>
    </row>
    <row r="96" spans="1:14" ht="12.75">
      <c r="A96" s="330" t="s">
        <v>14</v>
      </c>
      <c r="B96" s="336"/>
      <c r="C96" s="331">
        <f>ROUND($B$6*E$62*$D$70,0)</f>
        <v>26</v>
      </c>
      <c r="D96" s="331">
        <f>ROUND($B$6*F$62*$D$70,0)</f>
        <v>17</v>
      </c>
      <c r="E96" s="331">
        <f>ROUND($B$6*G$62*$D$70,0)</f>
        <v>11</v>
      </c>
      <c r="F96" s="331">
        <f>ROUND($B$6*H$62*$D$70,0)</f>
        <v>5</v>
      </c>
      <c r="G96" s="331">
        <f>ROUND($C$6*E$62*$D$70,0)</f>
        <v>27</v>
      </c>
      <c r="H96" s="331">
        <f>ROUND($C$6*F$62*$D$70,0)</f>
        <v>17</v>
      </c>
      <c r="I96" s="331">
        <f>ROUND($C$6*G$62*$D$70,0)</f>
        <v>12</v>
      </c>
      <c r="J96" s="331">
        <f>ROUND($C$6*H$62*$D$70,0)</f>
        <v>6</v>
      </c>
      <c r="K96" s="331">
        <f>ROUND($D$6*E$62*$D$70,0)</f>
        <v>30</v>
      </c>
      <c r="L96" s="331">
        <f>ROUND($D$6*F$62*$D$70,0)</f>
        <v>19</v>
      </c>
      <c r="M96" s="331">
        <f>ROUND($D$6*G$62*$D$70,0)</f>
        <v>13</v>
      </c>
      <c r="N96" s="331">
        <f>ROUND($D$6*H$62*$D$70,0)</f>
        <v>6</v>
      </c>
    </row>
    <row r="97" spans="1:14" ht="12.75">
      <c r="A97" s="330" t="s">
        <v>55</v>
      </c>
      <c r="B97" s="331">
        <f>D94</f>
        <v>15</v>
      </c>
      <c r="C97" s="331">
        <f aca="true" t="shared" si="6" ref="C97:N97">B97+C98-C96</f>
        <v>9</v>
      </c>
      <c r="D97" s="331">
        <f t="shared" si="6"/>
        <v>11</v>
      </c>
      <c r="E97" s="331">
        <f t="shared" si="6"/>
        <v>10</v>
      </c>
      <c r="F97" s="331">
        <f t="shared" si="6"/>
        <v>10</v>
      </c>
      <c r="G97" s="331">
        <f t="shared" si="6"/>
        <v>8</v>
      </c>
      <c r="H97" s="331">
        <f t="shared" si="6"/>
        <v>7</v>
      </c>
      <c r="I97" s="331">
        <f t="shared" si="6"/>
        <v>6</v>
      </c>
      <c r="J97" s="331">
        <f t="shared" si="6"/>
        <v>5</v>
      </c>
      <c r="K97" s="331">
        <f t="shared" si="6"/>
        <v>2</v>
      </c>
      <c r="L97" s="331">
        <f t="shared" si="6"/>
        <v>0</v>
      </c>
      <c r="M97" s="331">
        <f t="shared" si="6"/>
        <v>-1</v>
      </c>
      <c r="N97" s="331">
        <f t="shared" si="6"/>
        <v>-1</v>
      </c>
    </row>
    <row r="98" spans="1:14" ht="12.75">
      <c r="A98" s="330" t="s">
        <v>56</v>
      </c>
      <c r="B98" s="334" t="s">
        <v>0</v>
      </c>
      <c r="C98" s="34">
        <v>20</v>
      </c>
      <c r="D98" s="34">
        <v>19</v>
      </c>
      <c r="E98" s="34">
        <v>10</v>
      </c>
      <c r="F98" s="34">
        <v>5</v>
      </c>
      <c r="G98" s="34">
        <v>25</v>
      </c>
      <c r="H98" s="34">
        <v>16</v>
      </c>
      <c r="I98" s="34">
        <v>11</v>
      </c>
      <c r="J98" s="34">
        <v>5</v>
      </c>
      <c r="K98" s="34">
        <v>27</v>
      </c>
      <c r="L98" s="34">
        <v>17</v>
      </c>
      <c r="M98" s="34">
        <v>12</v>
      </c>
      <c r="N98" s="34">
        <v>6</v>
      </c>
    </row>
    <row r="99" spans="1:14" ht="12.75">
      <c r="A99" s="330" t="s">
        <v>57</v>
      </c>
      <c r="B99" s="336"/>
      <c r="C99" s="331">
        <f aca="true" t="shared" si="7" ref="C99:N99">ROUND(IF($G94=0,0,C98/$G94),0)</f>
        <v>22</v>
      </c>
      <c r="D99" s="331">
        <f t="shared" si="7"/>
        <v>20</v>
      </c>
      <c r="E99" s="331">
        <f t="shared" si="7"/>
        <v>11</v>
      </c>
      <c r="F99" s="331">
        <f t="shared" si="7"/>
        <v>5</v>
      </c>
      <c r="G99" s="331">
        <f t="shared" si="7"/>
        <v>27</v>
      </c>
      <c r="H99" s="331">
        <f t="shared" si="7"/>
        <v>17</v>
      </c>
      <c r="I99" s="331">
        <f t="shared" si="7"/>
        <v>12</v>
      </c>
      <c r="J99" s="331">
        <f t="shared" si="7"/>
        <v>5</v>
      </c>
      <c r="K99" s="331">
        <f t="shared" si="7"/>
        <v>29</v>
      </c>
      <c r="L99" s="331">
        <f t="shared" si="7"/>
        <v>18</v>
      </c>
      <c r="M99" s="331">
        <f t="shared" si="7"/>
        <v>13</v>
      </c>
      <c r="N99" s="331">
        <f t="shared" si="7"/>
        <v>6</v>
      </c>
    </row>
    <row r="100" ht="12.75"/>
    <row r="101" spans="3:10" ht="12.75">
      <c r="C101" s="329" t="s">
        <v>43</v>
      </c>
      <c r="D101" s="334">
        <f>'Poliof40 - LIVROB'!$E$940</f>
        <v>27</v>
      </c>
      <c r="E101" s="117" t="s">
        <v>0</v>
      </c>
      <c r="F101" s="329" t="s">
        <v>44</v>
      </c>
      <c r="G101" s="335">
        <f>1-'Poliof40 - LIVROB'!$D$540</f>
        <v>0.9299999999999999</v>
      </c>
      <c r="I101" s="16" t="s">
        <v>0</v>
      </c>
      <c r="J101" s="110" t="s">
        <v>0</v>
      </c>
    </row>
    <row r="102" spans="1:14" ht="12.75">
      <c r="A102" s="360" t="s">
        <v>60</v>
      </c>
      <c r="B102" s="330" t="s">
        <v>46</v>
      </c>
      <c r="C102" s="330" t="s">
        <v>25</v>
      </c>
      <c r="D102" s="330" t="s">
        <v>26</v>
      </c>
      <c r="E102" s="330" t="s">
        <v>27</v>
      </c>
      <c r="F102" s="330" t="s">
        <v>28</v>
      </c>
      <c r="G102" s="330" t="s">
        <v>47</v>
      </c>
      <c r="H102" s="330" t="s">
        <v>48</v>
      </c>
      <c r="I102" s="330" t="s">
        <v>49</v>
      </c>
      <c r="J102" s="330" t="s">
        <v>50</v>
      </c>
      <c r="K102" s="330" t="s">
        <v>51</v>
      </c>
      <c r="L102" s="330" t="s">
        <v>52</v>
      </c>
      <c r="M102" s="330" t="s">
        <v>53</v>
      </c>
      <c r="N102" s="330" t="s">
        <v>54</v>
      </c>
    </row>
    <row r="103" spans="1:14" ht="12.75">
      <c r="A103" s="330" t="s">
        <v>14</v>
      </c>
      <c r="B103" s="336"/>
      <c r="C103" s="331">
        <f>ROUND($B$6*E$62*$D$71,0)</f>
        <v>24</v>
      </c>
      <c r="D103" s="331">
        <f>ROUND($B$6*F$62*$D$71,0)</f>
        <v>15</v>
      </c>
      <c r="E103" s="331">
        <f>ROUND($B$6*G$62*$D$71,0)</f>
        <v>10</v>
      </c>
      <c r="F103" s="331">
        <f>ROUND($B$6*H$62*$D$71,0)</f>
        <v>5</v>
      </c>
      <c r="G103" s="331">
        <f>ROUND($C$6*E$62*$D$71,0)</f>
        <v>25</v>
      </c>
      <c r="H103" s="331">
        <f>ROUND($C$6*F$62*$D$71,0)</f>
        <v>16</v>
      </c>
      <c r="I103" s="331">
        <f>ROUND($C$6*G$62*$D$71,0)</f>
        <v>11</v>
      </c>
      <c r="J103" s="331">
        <f>ROUND($C$6*H$62*$D$71,0)</f>
        <v>5</v>
      </c>
      <c r="K103" s="331">
        <f>ROUND($D$6*E$62*$D$71,0)</f>
        <v>27</v>
      </c>
      <c r="L103" s="331">
        <f>ROUND($D$6*F$62*$D$71,0)</f>
        <v>17</v>
      </c>
      <c r="M103" s="331">
        <f>ROUND($D$6*G$62*$D$71,0)</f>
        <v>12</v>
      </c>
      <c r="N103" s="331">
        <f>ROUND($D$6*H$62*$D$71,0)</f>
        <v>6</v>
      </c>
    </row>
    <row r="104" spans="1:14" ht="12.75">
      <c r="A104" s="330" t="s">
        <v>55</v>
      </c>
      <c r="B104" s="331">
        <f>D101</f>
        <v>27</v>
      </c>
      <c r="C104" s="331">
        <f aca="true" t="shared" si="8" ref="C104:N104">B104+C105-C103</f>
        <v>12</v>
      </c>
      <c r="D104" s="331">
        <f t="shared" si="8"/>
        <v>6</v>
      </c>
      <c r="E104" s="331">
        <f t="shared" si="8"/>
        <v>5</v>
      </c>
      <c r="F104" s="331">
        <f t="shared" si="8"/>
        <v>9</v>
      </c>
      <c r="G104" s="331">
        <f t="shared" si="8"/>
        <v>-7</v>
      </c>
      <c r="H104" s="331">
        <f t="shared" si="8"/>
        <v>-13</v>
      </c>
      <c r="I104" s="331">
        <f t="shared" si="8"/>
        <v>-7</v>
      </c>
      <c r="J104" s="331">
        <f t="shared" si="8"/>
        <v>5</v>
      </c>
      <c r="K104" s="331">
        <f t="shared" si="8"/>
        <v>-5</v>
      </c>
      <c r="L104" s="331">
        <f t="shared" si="8"/>
        <v>-5</v>
      </c>
      <c r="M104" s="331">
        <f t="shared" si="8"/>
        <v>0</v>
      </c>
      <c r="N104" s="331">
        <f t="shared" si="8"/>
        <v>11</v>
      </c>
    </row>
    <row r="105" spans="1:14" ht="12.75">
      <c r="A105" s="330" t="s">
        <v>56</v>
      </c>
      <c r="B105" s="334" t="s">
        <v>0</v>
      </c>
      <c r="C105" s="34">
        <v>9</v>
      </c>
      <c r="D105" s="34">
        <v>9</v>
      </c>
      <c r="E105" s="34">
        <v>9</v>
      </c>
      <c r="F105" s="34">
        <v>9</v>
      </c>
      <c r="G105" s="34">
        <v>9</v>
      </c>
      <c r="H105" s="34">
        <v>10</v>
      </c>
      <c r="I105" s="34">
        <v>17</v>
      </c>
      <c r="J105" s="34">
        <v>17</v>
      </c>
      <c r="K105" s="34">
        <v>17</v>
      </c>
      <c r="L105" s="34">
        <v>17</v>
      </c>
      <c r="M105" s="34">
        <v>17</v>
      </c>
      <c r="N105" s="34">
        <v>17</v>
      </c>
    </row>
    <row r="106" spans="1:14" ht="12.75">
      <c r="A106" s="330" t="s">
        <v>57</v>
      </c>
      <c r="B106" s="336"/>
      <c r="C106" s="331">
        <f aca="true" t="shared" si="9" ref="C106:N106">ROUND(IF($G101=0,0,C105/$G101),0)</f>
        <v>10</v>
      </c>
      <c r="D106" s="331">
        <f t="shared" si="9"/>
        <v>10</v>
      </c>
      <c r="E106" s="331">
        <f t="shared" si="9"/>
        <v>10</v>
      </c>
      <c r="F106" s="331">
        <f t="shared" si="9"/>
        <v>10</v>
      </c>
      <c r="G106" s="331">
        <f t="shared" si="9"/>
        <v>10</v>
      </c>
      <c r="H106" s="331">
        <f t="shared" si="9"/>
        <v>11</v>
      </c>
      <c r="I106" s="331">
        <f t="shared" si="9"/>
        <v>18</v>
      </c>
      <c r="J106" s="331">
        <f t="shared" si="9"/>
        <v>18</v>
      </c>
      <c r="K106" s="331">
        <f t="shared" si="9"/>
        <v>18</v>
      </c>
      <c r="L106" s="331">
        <f t="shared" si="9"/>
        <v>18</v>
      </c>
      <c r="M106" s="331">
        <f t="shared" si="9"/>
        <v>18</v>
      </c>
      <c r="N106" s="331">
        <f t="shared" si="9"/>
        <v>18</v>
      </c>
    </row>
    <row r="107" ht="12.75"/>
    <row r="108" spans="3:10" ht="12.75">
      <c r="C108" s="329" t="s">
        <v>43</v>
      </c>
      <c r="D108" s="334">
        <f>'Poliof40 - LIVROB'!$F$940</f>
        <v>82</v>
      </c>
      <c r="E108" s="117" t="s">
        <v>0</v>
      </c>
      <c r="F108" s="329" t="s">
        <v>44</v>
      </c>
      <c r="G108" s="335">
        <f>1-'Poliof40 - LIVROB'!$D$541</f>
        <v>0.9299999999999999</v>
      </c>
      <c r="I108" s="16" t="s">
        <v>0</v>
      </c>
      <c r="J108" s="110" t="s">
        <v>0</v>
      </c>
    </row>
    <row r="109" spans="1:14" ht="12.75">
      <c r="A109" s="360" t="s">
        <v>61</v>
      </c>
      <c r="B109" s="330" t="s">
        <v>46</v>
      </c>
      <c r="C109" s="330" t="s">
        <v>25</v>
      </c>
      <c r="D109" s="330" t="s">
        <v>26</v>
      </c>
      <c r="E109" s="330" t="s">
        <v>27</v>
      </c>
      <c r="F109" s="330" t="s">
        <v>28</v>
      </c>
      <c r="G109" s="330" t="s">
        <v>47</v>
      </c>
      <c r="H109" s="330" t="s">
        <v>48</v>
      </c>
      <c r="I109" s="330" t="s">
        <v>49</v>
      </c>
      <c r="J109" s="330" t="s">
        <v>50</v>
      </c>
      <c r="K109" s="330" t="s">
        <v>51</v>
      </c>
      <c r="L109" s="330" t="s">
        <v>52</v>
      </c>
      <c r="M109" s="330" t="s">
        <v>53</v>
      </c>
      <c r="N109" s="330" t="s">
        <v>54</v>
      </c>
    </row>
    <row r="110" spans="1:14" ht="12.75">
      <c r="A110" s="330" t="s">
        <v>14</v>
      </c>
      <c r="B110" s="336"/>
      <c r="C110" s="331">
        <f>ROUND($B$6*E$62*$D$72,0)</f>
        <v>27</v>
      </c>
      <c r="D110" s="331">
        <f>ROUND($B$6*F$62*$D$72,0)</f>
        <v>17</v>
      </c>
      <c r="E110" s="331">
        <f>ROUND($B$6*G$62*$D$72,0)</f>
        <v>12</v>
      </c>
      <c r="F110" s="331">
        <f>ROUND($B$6*H$62*$D$72,0)</f>
        <v>6</v>
      </c>
      <c r="G110" s="331">
        <f>ROUND($C$6*E$62*$D$72,0)</f>
        <v>29</v>
      </c>
      <c r="H110" s="331">
        <f>ROUND($C$6*F$62*$D$72,0)</f>
        <v>18</v>
      </c>
      <c r="I110" s="331">
        <f>ROUND($C$6*G$62*$D$72,0)</f>
        <v>12</v>
      </c>
      <c r="J110" s="331">
        <f>ROUND($C$6*H$62*$D$72,0)</f>
        <v>6</v>
      </c>
      <c r="K110" s="331">
        <f>ROUND($D$6*E$62*$D$72,0)</f>
        <v>31</v>
      </c>
      <c r="L110" s="331">
        <f>ROUND($D$6*F$62*$D$72,0)</f>
        <v>20</v>
      </c>
      <c r="M110" s="331">
        <f>ROUND($D$6*G$62*$D$72,0)</f>
        <v>13</v>
      </c>
      <c r="N110" s="331">
        <f>ROUND($D$6*H$62*$D$72,0)</f>
        <v>6</v>
      </c>
    </row>
    <row r="111" spans="1:14" ht="12.75">
      <c r="A111" s="330" t="s">
        <v>55</v>
      </c>
      <c r="B111" s="331">
        <f>D108</f>
        <v>82</v>
      </c>
      <c r="C111" s="331">
        <f aca="true" t="shared" si="10" ref="C111:N111">B111+C112-C110</f>
        <v>70</v>
      </c>
      <c r="D111" s="331">
        <f t="shared" si="10"/>
        <v>68</v>
      </c>
      <c r="E111" s="331">
        <f t="shared" si="10"/>
        <v>71</v>
      </c>
      <c r="F111" s="331">
        <f t="shared" si="10"/>
        <v>80</v>
      </c>
      <c r="G111" s="331">
        <f t="shared" si="10"/>
        <v>71</v>
      </c>
      <c r="H111" s="331">
        <f t="shared" si="10"/>
        <v>73</v>
      </c>
      <c r="I111" s="331">
        <f t="shared" si="10"/>
        <v>81</v>
      </c>
      <c r="J111" s="331">
        <f t="shared" si="10"/>
        <v>95</v>
      </c>
      <c r="K111" s="331">
        <f t="shared" si="10"/>
        <v>84</v>
      </c>
      <c r="L111" s="331">
        <f t="shared" si="10"/>
        <v>84</v>
      </c>
      <c r="M111" s="331">
        <f t="shared" si="10"/>
        <v>91</v>
      </c>
      <c r="N111" s="331">
        <f t="shared" si="10"/>
        <v>105</v>
      </c>
    </row>
    <row r="112" spans="1:14" ht="12.75">
      <c r="A112" s="330" t="s">
        <v>56</v>
      </c>
      <c r="B112" s="334" t="s">
        <v>0</v>
      </c>
      <c r="C112" s="34">
        <v>15</v>
      </c>
      <c r="D112" s="34">
        <v>15</v>
      </c>
      <c r="E112" s="34">
        <v>15</v>
      </c>
      <c r="F112" s="34">
        <v>15</v>
      </c>
      <c r="G112" s="34">
        <v>20</v>
      </c>
      <c r="H112" s="34">
        <v>20</v>
      </c>
      <c r="I112" s="34">
        <v>20</v>
      </c>
      <c r="J112" s="34">
        <v>20</v>
      </c>
      <c r="K112" s="34">
        <v>20</v>
      </c>
      <c r="L112" s="34">
        <v>20</v>
      </c>
      <c r="M112" s="34">
        <v>20</v>
      </c>
      <c r="N112" s="34">
        <v>20</v>
      </c>
    </row>
    <row r="113" spans="1:14" ht="12.75">
      <c r="A113" s="330" t="s">
        <v>57</v>
      </c>
      <c r="B113" s="336"/>
      <c r="C113" s="331">
        <f aca="true" t="shared" si="11" ref="C113:N113">ROUND(IF($G108=0,0,C112/$G108),0)</f>
        <v>16</v>
      </c>
      <c r="D113" s="331">
        <f t="shared" si="11"/>
        <v>16</v>
      </c>
      <c r="E113" s="331">
        <f t="shared" si="11"/>
        <v>16</v>
      </c>
      <c r="F113" s="331">
        <f t="shared" si="11"/>
        <v>16</v>
      </c>
      <c r="G113" s="331">
        <f t="shared" si="11"/>
        <v>22</v>
      </c>
      <c r="H113" s="331">
        <f t="shared" si="11"/>
        <v>22</v>
      </c>
      <c r="I113" s="331">
        <f t="shared" si="11"/>
        <v>22</v>
      </c>
      <c r="J113" s="331">
        <f t="shared" si="11"/>
        <v>22</v>
      </c>
      <c r="K113" s="331">
        <f t="shared" si="11"/>
        <v>22</v>
      </c>
      <c r="L113" s="331">
        <f t="shared" si="11"/>
        <v>22</v>
      </c>
      <c r="M113" s="331">
        <f t="shared" si="11"/>
        <v>22</v>
      </c>
      <c r="N113" s="331">
        <f t="shared" si="11"/>
        <v>22</v>
      </c>
    </row>
    <row r="114" ht="12.75" hidden="1"/>
    <row r="115" spans="3:10" ht="12.75" hidden="1">
      <c r="C115" s="329" t="s">
        <v>43</v>
      </c>
      <c r="D115" s="334">
        <f>'Poliof40 - LIVROB'!$G$940</f>
        <v>0</v>
      </c>
      <c r="E115" s="117" t="s">
        <v>0</v>
      </c>
      <c r="F115" s="329" t="s">
        <v>44</v>
      </c>
      <c r="G115" s="335">
        <f>1-'Poliof40 - LIVROB'!$D$543</f>
        <v>0.9</v>
      </c>
      <c r="I115" s="16" t="s">
        <v>0</v>
      </c>
      <c r="J115" s="110" t="s">
        <v>0</v>
      </c>
    </row>
    <row r="116" spans="1:14" ht="12.75" hidden="1">
      <c r="A116" s="360" t="s">
        <v>62</v>
      </c>
      <c r="B116" s="330" t="s">
        <v>46</v>
      </c>
      <c r="C116" s="330" t="s">
        <v>25</v>
      </c>
      <c r="D116" s="330" t="s">
        <v>26</v>
      </c>
      <c r="E116" s="330" t="s">
        <v>27</v>
      </c>
      <c r="F116" s="330" t="s">
        <v>28</v>
      </c>
      <c r="G116" s="330" t="s">
        <v>47</v>
      </c>
      <c r="H116" s="330" t="s">
        <v>48</v>
      </c>
      <c r="I116" s="330" t="s">
        <v>49</v>
      </c>
      <c r="J116" s="330" t="s">
        <v>50</v>
      </c>
      <c r="K116" s="330" t="s">
        <v>51</v>
      </c>
      <c r="L116" s="330" t="s">
        <v>52</v>
      </c>
      <c r="M116" s="330" t="s">
        <v>53</v>
      </c>
      <c r="N116" s="330" t="s">
        <v>54</v>
      </c>
    </row>
    <row r="117" spans="1:14" ht="12.75" hidden="1">
      <c r="A117" s="330" t="s">
        <v>14</v>
      </c>
      <c r="B117" s="336"/>
      <c r="C117" s="331">
        <f>ROUND($B$33*'Poliof40 - LIVROB'!$I$68*0.25,0)</f>
        <v>0</v>
      </c>
      <c r="D117" s="331">
        <f>ROUND($B$33*'Poliof40 - LIVROB'!$I$68*0.25,0)</f>
        <v>0</v>
      </c>
      <c r="E117" s="331">
        <f>ROUND($B$33*'Poliof40 - LIVROB'!$I$68*0.25,0)</f>
        <v>0</v>
      </c>
      <c r="F117" s="331">
        <f>ROUND($B$33*'Poliof40 - LIVROB'!$I$68*0.25,0)</f>
        <v>0</v>
      </c>
      <c r="G117" s="331">
        <f>ROUND($C$33*'Poliof40 - LIVROB'!$I$68*0.25,0)</f>
        <v>0</v>
      </c>
      <c r="H117" s="331">
        <f>ROUND($C$33*'Poliof40 - LIVROB'!$I$68*0.25,0)</f>
        <v>0</v>
      </c>
      <c r="I117" s="331">
        <f>ROUND($C$33*'Poliof40 - LIVROB'!$I$68*0.25,0)</f>
        <v>0</v>
      </c>
      <c r="J117" s="331">
        <f>ROUND($C$33*'Poliof40 - LIVROB'!$I$68*0.25,0)</f>
        <v>0</v>
      </c>
      <c r="K117" s="331">
        <f>ROUND($D$33*'Poliof40 - LIVROB'!$I$68*0.25,0)</f>
        <v>0</v>
      </c>
      <c r="L117" s="331">
        <f>ROUND($D$33*'Poliof40 - LIVROB'!$I$68*0.25,0)</f>
        <v>0</v>
      </c>
      <c r="M117" s="331">
        <f>ROUND($D$33*'Poliof40 - LIVROB'!$I$68*0.25,0)</f>
        <v>0</v>
      </c>
      <c r="N117" s="331">
        <f>ROUND($D$33*'Poliof40 - LIVROB'!$I$68*0.25,0)</f>
        <v>0</v>
      </c>
    </row>
    <row r="118" spans="1:14" ht="12.75" hidden="1">
      <c r="A118" s="330" t="s">
        <v>55</v>
      </c>
      <c r="B118" s="331">
        <f>D115</f>
        <v>0</v>
      </c>
      <c r="C118" s="331">
        <f aca="true" t="shared" si="12" ref="C118:N118">B118+C119-C117</f>
        <v>0</v>
      </c>
      <c r="D118" s="331">
        <f t="shared" si="12"/>
        <v>0</v>
      </c>
      <c r="E118" s="331">
        <f t="shared" si="12"/>
        <v>0</v>
      </c>
      <c r="F118" s="331">
        <f t="shared" si="12"/>
        <v>0</v>
      </c>
      <c r="G118" s="331">
        <f t="shared" si="12"/>
        <v>0</v>
      </c>
      <c r="H118" s="331">
        <f t="shared" si="12"/>
        <v>0</v>
      </c>
      <c r="I118" s="331">
        <f t="shared" si="12"/>
        <v>0</v>
      </c>
      <c r="J118" s="331">
        <f t="shared" si="12"/>
        <v>0</v>
      </c>
      <c r="K118" s="331">
        <f t="shared" si="12"/>
        <v>0</v>
      </c>
      <c r="L118" s="331">
        <f t="shared" si="12"/>
        <v>0</v>
      </c>
      <c r="M118" s="331">
        <f t="shared" si="12"/>
        <v>0</v>
      </c>
      <c r="N118" s="331">
        <f t="shared" si="12"/>
        <v>0</v>
      </c>
    </row>
    <row r="119" spans="1:14" ht="12.75" hidden="1">
      <c r="A119" s="330" t="s">
        <v>56</v>
      </c>
      <c r="B119" s="334" t="s">
        <v>0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</row>
    <row r="120" spans="1:14" ht="12.75" hidden="1">
      <c r="A120" s="330" t="s">
        <v>57</v>
      </c>
      <c r="B120" s="336"/>
      <c r="C120" s="331">
        <f aca="true" t="shared" si="13" ref="C120:N120">ROUND(IF($G115=0,0,C119/$G115),0)</f>
        <v>0</v>
      </c>
      <c r="D120" s="331">
        <f t="shared" si="13"/>
        <v>0</v>
      </c>
      <c r="E120" s="331">
        <f t="shared" si="13"/>
        <v>0</v>
      </c>
      <c r="F120" s="331">
        <f t="shared" si="13"/>
        <v>0</v>
      </c>
      <c r="G120" s="331">
        <f t="shared" si="13"/>
        <v>0</v>
      </c>
      <c r="H120" s="331">
        <f t="shared" si="13"/>
        <v>0</v>
      </c>
      <c r="I120" s="331">
        <f t="shared" si="13"/>
        <v>0</v>
      </c>
      <c r="J120" s="331">
        <f t="shared" si="13"/>
        <v>0</v>
      </c>
      <c r="K120" s="331">
        <f t="shared" si="13"/>
        <v>0</v>
      </c>
      <c r="L120" s="331">
        <f t="shared" si="13"/>
        <v>0</v>
      </c>
      <c r="M120" s="331">
        <f t="shared" si="13"/>
        <v>0</v>
      </c>
      <c r="N120" s="331">
        <f t="shared" si="13"/>
        <v>0</v>
      </c>
    </row>
    <row r="121" ht="12.75" hidden="1"/>
    <row r="122" spans="3:10" ht="12.75" hidden="1">
      <c r="C122" s="329" t="s">
        <v>43</v>
      </c>
      <c r="D122" s="334">
        <f>'Poliof40 - LIVROB'!$H$940</f>
        <v>0</v>
      </c>
      <c r="E122" s="117" t="s">
        <v>0</v>
      </c>
      <c r="F122" s="329" t="s">
        <v>44</v>
      </c>
      <c r="G122" s="335">
        <f>1-'Poliof40 - LIVROB'!$D$544</f>
        <v>0.9</v>
      </c>
      <c r="I122" s="16" t="s">
        <v>0</v>
      </c>
      <c r="J122" s="110" t="s">
        <v>0</v>
      </c>
    </row>
    <row r="123" spans="1:14" ht="12.75" hidden="1">
      <c r="A123" s="360" t="s">
        <v>63</v>
      </c>
      <c r="B123" s="330" t="s">
        <v>46</v>
      </c>
      <c r="C123" s="330" t="s">
        <v>25</v>
      </c>
      <c r="D123" s="330" t="s">
        <v>26</v>
      </c>
      <c r="E123" s="330" t="s">
        <v>27</v>
      </c>
      <c r="F123" s="330" t="s">
        <v>28</v>
      </c>
      <c r="G123" s="330" t="s">
        <v>47</v>
      </c>
      <c r="H123" s="330" t="s">
        <v>48</v>
      </c>
      <c r="I123" s="330" t="s">
        <v>49</v>
      </c>
      <c r="J123" s="330" t="s">
        <v>50</v>
      </c>
      <c r="K123" s="330" t="s">
        <v>51</v>
      </c>
      <c r="L123" s="330" t="s">
        <v>52</v>
      </c>
      <c r="M123" s="330" t="s">
        <v>53</v>
      </c>
      <c r="N123" s="330" t="s">
        <v>54</v>
      </c>
    </row>
    <row r="124" spans="1:14" ht="12.75" hidden="1">
      <c r="A124" s="330" t="s">
        <v>14</v>
      </c>
      <c r="B124" s="336"/>
      <c r="C124" s="331">
        <f>ROUND($B$33*'Poliof40 - LIVROB'!$I$69*0.25,0)</f>
        <v>0</v>
      </c>
      <c r="D124" s="331">
        <f>ROUND($B$33*'Poliof40 - LIVROB'!$I$69*0.25,0)</f>
        <v>0</v>
      </c>
      <c r="E124" s="331">
        <f>ROUND($B$33*'Poliof40 - LIVROB'!$I$69*0.25,0)</f>
        <v>0</v>
      </c>
      <c r="F124" s="331">
        <f>ROUND($B$33*'Poliof40 - LIVROB'!$I$69*0.25,0)</f>
        <v>0</v>
      </c>
      <c r="G124" s="331">
        <f>ROUND($C$33*'Poliof40 - LIVROB'!$I$69*0.25,0)</f>
        <v>0</v>
      </c>
      <c r="H124" s="331">
        <f>ROUND($C$33*'Poliof40 - LIVROB'!$I$69*0.25,0)</f>
        <v>0</v>
      </c>
      <c r="I124" s="331">
        <f>ROUND($C$33*'Poliof40 - LIVROB'!$I$69*0.25,0)</f>
        <v>0</v>
      </c>
      <c r="J124" s="331">
        <f>ROUND($C$33*'Poliof40 - LIVROB'!$I$69*0.25,0)</f>
        <v>0</v>
      </c>
      <c r="K124" s="331">
        <f>ROUND($D$33*'Poliof40 - LIVROB'!$I$69*0.25,0)</f>
        <v>0</v>
      </c>
      <c r="L124" s="331">
        <f>ROUND($D$33*'Poliof40 - LIVROB'!$I$69*0.25,0)</f>
        <v>0</v>
      </c>
      <c r="M124" s="331">
        <f>ROUND($D$33*'Poliof40 - LIVROB'!$I$69*0.25,0)</f>
        <v>0</v>
      </c>
      <c r="N124" s="331">
        <f>ROUND($D$33*'Poliof40 - LIVROB'!$I$69*0.25,0)</f>
        <v>0</v>
      </c>
    </row>
    <row r="125" spans="1:14" ht="12.75" hidden="1">
      <c r="A125" s="330" t="s">
        <v>55</v>
      </c>
      <c r="B125" s="331">
        <f>D122</f>
        <v>0</v>
      </c>
      <c r="C125" s="331">
        <f aca="true" t="shared" si="14" ref="C125:N125">B125+C126-C124</f>
        <v>0</v>
      </c>
      <c r="D125" s="331">
        <f t="shared" si="14"/>
        <v>0</v>
      </c>
      <c r="E125" s="331">
        <f t="shared" si="14"/>
        <v>0</v>
      </c>
      <c r="F125" s="331">
        <f t="shared" si="14"/>
        <v>0</v>
      </c>
      <c r="G125" s="331">
        <f t="shared" si="14"/>
        <v>0</v>
      </c>
      <c r="H125" s="331">
        <f t="shared" si="14"/>
        <v>0</v>
      </c>
      <c r="I125" s="331">
        <f t="shared" si="14"/>
        <v>0</v>
      </c>
      <c r="J125" s="331">
        <f t="shared" si="14"/>
        <v>0</v>
      </c>
      <c r="K125" s="331">
        <f t="shared" si="14"/>
        <v>0</v>
      </c>
      <c r="L125" s="331">
        <f t="shared" si="14"/>
        <v>0</v>
      </c>
      <c r="M125" s="331">
        <f t="shared" si="14"/>
        <v>0</v>
      </c>
      <c r="N125" s="331">
        <f t="shared" si="14"/>
        <v>0</v>
      </c>
    </row>
    <row r="126" spans="1:14" ht="12.75" hidden="1">
      <c r="A126" s="330" t="s">
        <v>56</v>
      </c>
      <c r="B126" s="334" t="s">
        <v>0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</row>
    <row r="127" spans="1:14" ht="12.75" hidden="1">
      <c r="A127" s="330" t="s">
        <v>57</v>
      </c>
      <c r="B127" s="336"/>
      <c r="C127" s="331">
        <f aca="true" t="shared" si="15" ref="C127:N127">ROUND(IF($G122=0,0,C126/$G122),0)</f>
        <v>0</v>
      </c>
      <c r="D127" s="331">
        <f t="shared" si="15"/>
        <v>0</v>
      </c>
      <c r="E127" s="331">
        <f t="shared" si="15"/>
        <v>0</v>
      </c>
      <c r="F127" s="331">
        <f t="shared" si="15"/>
        <v>0</v>
      </c>
      <c r="G127" s="331">
        <f t="shared" si="15"/>
        <v>0</v>
      </c>
      <c r="H127" s="331">
        <f t="shared" si="15"/>
        <v>0</v>
      </c>
      <c r="I127" s="331">
        <f t="shared" si="15"/>
        <v>0</v>
      </c>
      <c r="J127" s="331">
        <f t="shared" si="15"/>
        <v>0</v>
      </c>
      <c r="K127" s="331">
        <f t="shared" si="15"/>
        <v>0</v>
      </c>
      <c r="L127" s="331">
        <f t="shared" si="15"/>
        <v>0</v>
      </c>
      <c r="M127" s="331">
        <f t="shared" si="15"/>
        <v>0</v>
      </c>
      <c r="N127" s="331">
        <f t="shared" si="15"/>
        <v>0</v>
      </c>
    </row>
    <row r="128" ht="13.5" thickBot="1"/>
    <row r="129" spans="1:15" s="116" customFormat="1" ht="14.25" thickBot="1" thickTop="1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227"/>
    </row>
    <row r="130" spans="2:8" ht="21" thickBot="1">
      <c r="B130" s="314" t="s">
        <v>64</v>
      </c>
      <c r="C130" s="315"/>
      <c r="D130" s="316"/>
      <c r="E130" s="316"/>
      <c r="F130" s="316"/>
      <c r="G130" s="317"/>
      <c r="H130" s="318"/>
    </row>
    <row r="131" spans="3:11" ht="12.75">
      <c r="C131" s="17"/>
      <c r="D131" s="17"/>
      <c r="E131" s="17"/>
      <c r="F131" s="17"/>
      <c r="G131" s="18"/>
      <c r="I131" s="16" t="s">
        <v>0</v>
      </c>
      <c r="J131" s="16" t="s">
        <v>0</v>
      </c>
      <c r="K131" s="16" t="s">
        <v>0</v>
      </c>
    </row>
    <row r="132" ht="12.75"/>
    <row r="133" spans="2:12" ht="12.75">
      <c r="B133" s="337" t="s">
        <v>43</v>
      </c>
      <c r="C133" s="334">
        <f>'Poliof40 - LIVROB'!$B$941</f>
        <v>213</v>
      </c>
      <c r="D133" s="338" t="s">
        <v>65</v>
      </c>
      <c r="E133" s="334">
        <f>'Poliof40 - LIVROB'!$E$570</f>
        <v>7</v>
      </c>
      <c r="F133" s="338" t="s">
        <v>66</v>
      </c>
      <c r="G133" s="119">
        <v>140</v>
      </c>
      <c r="H133" s="339" t="s">
        <v>67</v>
      </c>
      <c r="I133" s="119">
        <v>400</v>
      </c>
      <c r="J133" s="340" t="s">
        <v>44</v>
      </c>
      <c r="K133" s="335">
        <f>1-'Poliof40 - LIVROB'!$D$570</f>
        <v>0.99</v>
      </c>
      <c r="L133" s="114"/>
    </row>
    <row r="134" spans="1:14" ht="12.75">
      <c r="A134" s="360" t="s">
        <v>68</v>
      </c>
      <c r="B134" s="330" t="s">
        <v>69</v>
      </c>
      <c r="C134" s="330" t="s">
        <v>25</v>
      </c>
      <c r="D134" s="330" t="s">
        <v>26</v>
      </c>
      <c r="E134" s="330" t="s">
        <v>27</v>
      </c>
      <c r="F134" s="330" t="s">
        <v>28</v>
      </c>
      <c r="G134" s="330" t="s">
        <v>47</v>
      </c>
      <c r="H134" s="330" t="s">
        <v>48</v>
      </c>
      <c r="I134" s="330" t="s">
        <v>49</v>
      </c>
      <c r="J134" s="330" t="s">
        <v>50</v>
      </c>
      <c r="K134" s="330" t="s">
        <v>51</v>
      </c>
      <c r="L134" s="330" t="s">
        <v>52</v>
      </c>
      <c r="M134" s="330" t="s">
        <v>53</v>
      </c>
      <c r="N134" s="330" t="s">
        <v>54</v>
      </c>
    </row>
    <row r="135" spans="1:14" ht="12.75">
      <c r="A135" s="330" t="s">
        <v>70</v>
      </c>
      <c r="B135" s="336"/>
      <c r="C135" s="331">
        <f aca="true" t="shared" si="16" ref="C135:N135">C113+C106+2*C92+C85</f>
        <v>52</v>
      </c>
      <c r="D135" s="331">
        <f t="shared" si="16"/>
        <v>52</v>
      </c>
      <c r="E135" s="331">
        <f t="shared" si="16"/>
        <v>47</v>
      </c>
      <c r="F135" s="331">
        <f t="shared" si="16"/>
        <v>47</v>
      </c>
      <c r="G135" s="331">
        <f t="shared" si="16"/>
        <v>60</v>
      </c>
      <c r="H135" s="331">
        <f t="shared" si="16"/>
        <v>61</v>
      </c>
      <c r="I135" s="331">
        <f t="shared" si="16"/>
        <v>63</v>
      </c>
      <c r="J135" s="331">
        <f t="shared" si="16"/>
        <v>72</v>
      </c>
      <c r="K135" s="331">
        <f t="shared" si="16"/>
        <v>72</v>
      </c>
      <c r="L135" s="331">
        <f t="shared" si="16"/>
        <v>72</v>
      </c>
      <c r="M135" s="331">
        <f t="shared" si="16"/>
        <v>72</v>
      </c>
      <c r="N135" s="331">
        <f t="shared" si="16"/>
        <v>67</v>
      </c>
    </row>
    <row r="136" spans="1:14" ht="12.75">
      <c r="A136" s="330" t="s">
        <v>71</v>
      </c>
      <c r="B136" s="336"/>
      <c r="C136" s="331">
        <f>'Poliof40 - LIVROB'!$B$943</f>
        <v>0</v>
      </c>
      <c r="D136" s="331">
        <f>'Poliof40 - LIVROB'!$C$943</f>
        <v>404</v>
      </c>
      <c r="E136" s="331">
        <f>'Poliof40 - LIVROB'!$D$943</f>
        <v>0</v>
      </c>
      <c r="F136" s="331">
        <f>'Poliof40 - LIVROB'!$E$943</f>
        <v>0</v>
      </c>
      <c r="G136" s="331">
        <f>'Poliof40 - LIVROB'!$F$943</f>
        <v>0</v>
      </c>
      <c r="H136" s="331">
        <f>'Poliof40 - LIVROB'!$G$943</f>
        <v>0</v>
      </c>
      <c r="I136" s="331">
        <f>'Poliof40 - LIVROB'!$H$943</f>
        <v>0</v>
      </c>
      <c r="J136" s="331">
        <f>'Poliof40 - LIVROB'!$I$943</f>
        <v>0</v>
      </c>
      <c r="K136" s="331">
        <v>0</v>
      </c>
      <c r="L136" s="331">
        <v>0</v>
      </c>
      <c r="M136" s="331">
        <v>0</v>
      </c>
      <c r="N136" s="331">
        <v>0</v>
      </c>
    </row>
    <row r="137" spans="1:14" ht="12.75">
      <c r="A137" s="330" t="s">
        <v>72</v>
      </c>
      <c r="B137" s="331">
        <f>C133+B136+B138</f>
        <v>213</v>
      </c>
      <c r="C137" s="331">
        <f aca="true" t="shared" si="17" ref="C137:N137">B137+C138-C135+C136</f>
        <v>161</v>
      </c>
      <c r="D137" s="331">
        <f t="shared" si="17"/>
        <v>513</v>
      </c>
      <c r="E137" s="331">
        <f t="shared" si="17"/>
        <v>466</v>
      </c>
      <c r="F137" s="331">
        <f t="shared" si="17"/>
        <v>419</v>
      </c>
      <c r="G137" s="331">
        <f t="shared" si="17"/>
        <v>359</v>
      </c>
      <c r="H137" s="331">
        <f t="shared" si="17"/>
        <v>298</v>
      </c>
      <c r="I137" s="331">
        <f t="shared" si="17"/>
        <v>235</v>
      </c>
      <c r="J137" s="331">
        <f t="shared" si="17"/>
        <v>163</v>
      </c>
      <c r="K137" s="331">
        <f t="shared" si="17"/>
        <v>491</v>
      </c>
      <c r="L137" s="331">
        <f t="shared" si="17"/>
        <v>419</v>
      </c>
      <c r="M137" s="331">
        <f t="shared" si="17"/>
        <v>347</v>
      </c>
      <c r="N137" s="331">
        <f t="shared" si="17"/>
        <v>280</v>
      </c>
    </row>
    <row r="138" spans="1:14" ht="12.75">
      <c r="A138" s="330" t="s">
        <v>73</v>
      </c>
      <c r="B138" s="364">
        <f>IF(C133+B136&lt;G133,MAXA(I133,G133-C133-B136),0)</f>
        <v>0</v>
      </c>
      <c r="C138" s="331">
        <f>IF(B137+C136-C135&lt;G133,MAXA(I133,G133+C135-C136-B137),0)</f>
        <v>0</v>
      </c>
      <c r="D138" s="331">
        <f>IF(C137+D136-D135&lt;G133,MAXA(I133,G133+D135-D136-C137),0)</f>
        <v>0</v>
      </c>
      <c r="E138" s="331">
        <f>IF(D137+E136-E135&lt;G133,MAXA(I133,G133+E135-E136-D137),0)</f>
        <v>0</v>
      </c>
      <c r="F138" s="331">
        <f>IF(E137+F136-F135&lt;G133,MAXA(I133,G133+F135-F136-E137),0)</f>
        <v>0</v>
      </c>
      <c r="G138" s="331">
        <f>IF(F137+G136-G135&lt;G133,MAXA(I133,G133+G135-G136-F137),0)</f>
        <v>0</v>
      </c>
      <c r="H138" s="331">
        <f>IF(G137+H136-H135&lt;G133,MAXA(I133,G133+H135-H136-G137),0)</f>
        <v>0</v>
      </c>
      <c r="I138" s="331">
        <f>IF(H137+I136-I135&lt;G133,MAXA(I133,G133+I135-I136-H137),0)</f>
        <v>0</v>
      </c>
      <c r="J138" s="331">
        <f>IF(I137+J136-J135&lt;G133,MAXA(I133,G133+J135-J136-I137),0)</f>
        <v>0</v>
      </c>
      <c r="K138" s="331">
        <f>IF(J137+K136-K135&lt;G133,MAXA(I133,G133+K135-K136-J137),0)</f>
        <v>400</v>
      </c>
      <c r="L138" s="331">
        <f>IF(K137+L136-L135&lt;G133,MAXA(I133,G133+L135-L136-K137),0)</f>
        <v>0</v>
      </c>
      <c r="M138" s="331">
        <f>IF(L137+M136-M135&lt;G133,MAXA(I133,G133+M135-M136-L137),0)</f>
        <v>0</v>
      </c>
      <c r="N138" s="331">
        <f>IF(M137+N136-N135&lt;G133,MAXA(I133,G133+N135-N136-M137),0)</f>
        <v>0</v>
      </c>
    </row>
    <row r="139" spans="1:14" ht="12.75">
      <c r="A139" s="330" t="s">
        <v>74</v>
      </c>
      <c r="B139" s="364">
        <f>ROUND(IF(K133=0,0,(IF(E133=2,SUM(B138:D138),IF(E133=7,SUM(B138:I138),0)))/K133),0)</f>
        <v>0</v>
      </c>
      <c r="C139" s="331">
        <f>ROUND(IF(K133=0,0,(IF(E133=2,E138,IF(E133=7,J138,0)))/K133),0)</f>
        <v>0</v>
      </c>
      <c r="D139" s="331">
        <f>ROUND(IF(K133=0,0,(IF(E133=2,F138,IF(E133=7,K138,0)))/K133),0)</f>
        <v>404</v>
      </c>
      <c r="E139" s="331">
        <f>ROUND(IF(K133=0,0,(IF(E133=2,G138,IF(E133=7,L138,0)))/K133),0)</f>
        <v>0</v>
      </c>
      <c r="F139" s="331">
        <f>ROUND(IF(K133=0,0,(IF(E133=2,H138,IF(E133=7,M138,0)))/K133),0)</f>
        <v>0</v>
      </c>
      <c r="G139" s="331">
        <f>ROUND(IF(K133=0,0,(IF(E133=2,I138,IF(E133=7,N138,0)))/K133),0)</f>
        <v>0</v>
      </c>
      <c r="H139" s="331">
        <f>ROUND(IF(K133=0,0,(IF(E133=2,J138,0))/K133),0)</f>
        <v>0</v>
      </c>
      <c r="I139" s="331">
        <f>ROUND(IF(K133=0,0,(IF(E133=2,K138,0))/K133),0)</f>
        <v>0</v>
      </c>
      <c r="J139" s="331">
        <f>ROUND(IF(K133=0,0,(IF(E133=2,L138,0))/K133),0)</f>
        <v>0</v>
      </c>
      <c r="K139" s="331">
        <f>ROUND(IF(K133=0,0,(IF(E133=2,M138,0))/K133),0)</f>
        <v>0</v>
      </c>
      <c r="L139" s="331">
        <f>ROUND(IF(K133=0,0,(IF(E133=2,N138,0))/K133),0)</f>
        <v>0</v>
      </c>
      <c r="M139" s="336"/>
      <c r="N139" s="336"/>
    </row>
    <row r="140" ht="12.75"/>
    <row r="141" spans="2:12" ht="12.75">
      <c r="B141" s="337" t="s">
        <v>43</v>
      </c>
      <c r="C141" s="334">
        <f>'Poliof40 - LIVROB'!$E$941</f>
        <v>16</v>
      </c>
      <c r="D141" s="338" t="s">
        <v>65</v>
      </c>
      <c r="E141" s="334">
        <f>'Poliof40 - LIVROB'!$E$571</f>
        <v>2</v>
      </c>
      <c r="F141" s="338" t="s">
        <v>66</v>
      </c>
      <c r="G141" s="119">
        <v>5</v>
      </c>
      <c r="H141" s="339" t="s">
        <v>67</v>
      </c>
      <c r="I141" s="119">
        <v>36</v>
      </c>
      <c r="J141" s="340" t="s">
        <v>44</v>
      </c>
      <c r="K141" s="335">
        <f>1-'Poliof40 - LIVROB'!$D$571</f>
        <v>0.95</v>
      </c>
      <c r="L141" s="114"/>
    </row>
    <row r="142" spans="1:14" ht="12.75">
      <c r="A142" s="360" t="s">
        <v>75</v>
      </c>
      <c r="B142" s="330" t="s">
        <v>69</v>
      </c>
      <c r="C142" s="330" t="s">
        <v>25</v>
      </c>
      <c r="D142" s="330" t="s">
        <v>26</v>
      </c>
      <c r="E142" s="330" t="s">
        <v>27</v>
      </c>
      <c r="F142" s="330" t="s">
        <v>28</v>
      </c>
      <c r="G142" s="330" t="s">
        <v>47</v>
      </c>
      <c r="H142" s="330" t="s">
        <v>48</v>
      </c>
      <c r="I142" s="330" t="s">
        <v>49</v>
      </c>
      <c r="J142" s="330" t="s">
        <v>50</v>
      </c>
      <c r="K142" s="330" t="s">
        <v>51</v>
      </c>
      <c r="L142" s="330" t="s">
        <v>52</v>
      </c>
      <c r="M142" s="330" t="s">
        <v>53</v>
      </c>
      <c r="N142" s="330" t="s">
        <v>54</v>
      </c>
    </row>
    <row r="143" spans="1:14" ht="12.75">
      <c r="A143" s="330" t="s">
        <v>70</v>
      </c>
      <c r="B143" s="336"/>
      <c r="C143" s="331">
        <f aca="true" t="shared" si="18" ref="C143:N143">C113</f>
        <v>16</v>
      </c>
      <c r="D143" s="331">
        <f t="shared" si="18"/>
        <v>16</v>
      </c>
      <c r="E143" s="331">
        <f t="shared" si="18"/>
        <v>16</v>
      </c>
      <c r="F143" s="331">
        <f t="shared" si="18"/>
        <v>16</v>
      </c>
      <c r="G143" s="331">
        <f t="shared" si="18"/>
        <v>22</v>
      </c>
      <c r="H143" s="331">
        <f t="shared" si="18"/>
        <v>22</v>
      </c>
      <c r="I143" s="331">
        <f t="shared" si="18"/>
        <v>22</v>
      </c>
      <c r="J143" s="331">
        <f t="shared" si="18"/>
        <v>22</v>
      </c>
      <c r="K143" s="331">
        <f t="shared" si="18"/>
        <v>22</v>
      </c>
      <c r="L143" s="331">
        <f t="shared" si="18"/>
        <v>22</v>
      </c>
      <c r="M143" s="331">
        <f t="shared" si="18"/>
        <v>22</v>
      </c>
      <c r="N143" s="331">
        <f t="shared" si="18"/>
        <v>22</v>
      </c>
    </row>
    <row r="144" spans="1:14" ht="12.75">
      <c r="A144" s="330" t="s">
        <v>71</v>
      </c>
      <c r="B144" s="336"/>
      <c r="C144" s="331">
        <f>'Poliof40 - LIVROB'!$B$946</f>
        <v>38</v>
      </c>
      <c r="D144" s="331">
        <f>'Poliof40 - LIVROB'!$C$946</f>
        <v>0</v>
      </c>
      <c r="E144" s="331">
        <f>'Poliof40 - LIVROB'!$D$946</f>
        <v>0</v>
      </c>
      <c r="F144" s="331">
        <f>'Poliof40 - LIVROB'!$E$946</f>
        <v>0</v>
      </c>
      <c r="G144" s="331">
        <f>'Poliof40 - LIVROB'!$F$946</f>
        <v>0</v>
      </c>
      <c r="H144" s="331">
        <f>'Poliof40 - LIVROB'!$G$946</f>
        <v>0</v>
      </c>
      <c r="I144" s="331">
        <f>'Poliof40 - LIVROB'!$H$946</f>
        <v>0</v>
      </c>
      <c r="J144" s="331">
        <f>'Poliof40 - LIVROB'!$I$946</f>
        <v>0</v>
      </c>
      <c r="K144" s="331">
        <v>0</v>
      </c>
      <c r="L144" s="331">
        <v>0</v>
      </c>
      <c r="M144" s="331">
        <v>0</v>
      </c>
      <c r="N144" s="331">
        <v>0</v>
      </c>
    </row>
    <row r="145" spans="1:14" ht="12.75">
      <c r="A145" s="330" t="s">
        <v>72</v>
      </c>
      <c r="B145" s="331">
        <f>C141+B144+B146</f>
        <v>16</v>
      </c>
      <c r="C145" s="331">
        <f aca="true" t="shared" si="19" ref="C145:N145">B145+C146-C143+C144</f>
        <v>38</v>
      </c>
      <c r="D145" s="331">
        <f t="shared" si="19"/>
        <v>22</v>
      </c>
      <c r="E145" s="331">
        <f t="shared" si="19"/>
        <v>6</v>
      </c>
      <c r="F145" s="331">
        <f t="shared" si="19"/>
        <v>26</v>
      </c>
      <c r="G145" s="331">
        <f t="shared" si="19"/>
        <v>40</v>
      </c>
      <c r="H145" s="331">
        <f t="shared" si="19"/>
        <v>18</v>
      </c>
      <c r="I145" s="331">
        <f t="shared" si="19"/>
        <v>32</v>
      </c>
      <c r="J145" s="331">
        <f t="shared" si="19"/>
        <v>10</v>
      </c>
      <c r="K145" s="331">
        <f t="shared" si="19"/>
        <v>24</v>
      </c>
      <c r="L145" s="331">
        <f t="shared" si="19"/>
        <v>38</v>
      </c>
      <c r="M145" s="331">
        <f t="shared" si="19"/>
        <v>16</v>
      </c>
      <c r="N145" s="331">
        <f t="shared" si="19"/>
        <v>30</v>
      </c>
    </row>
    <row r="146" spans="1:14" ht="12.75">
      <c r="A146" s="330" t="s">
        <v>73</v>
      </c>
      <c r="B146" s="364">
        <f>IF(C141+B144&lt;G141,MAXA(I141,G141-C141-B144),0)</f>
        <v>0</v>
      </c>
      <c r="C146" s="331">
        <f>IF(B145+C144-C143&lt;G141,MAXA(I141,G141+C143-C144-B145),0)</f>
        <v>0</v>
      </c>
      <c r="D146" s="331">
        <f>IF(C145+D144-D143&lt;G141,MAXA(I141,G141+D143-D144-C145),0)</f>
        <v>0</v>
      </c>
      <c r="E146" s="331">
        <f>IF(D145+E144-E143&lt;G141,MAXA(I141,G141+E143-E144-D145),0)</f>
        <v>0</v>
      </c>
      <c r="F146" s="331">
        <f>IF(E145+F144-F143&lt;G141,MAXA(I141,G141+F143-F144-E145),0)</f>
        <v>36</v>
      </c>
      <c r="G146" s="331">
        <f>IF(F145+G144-G143&lt;G141,MAXA(I141,G141+G143-G144-F145),0)</f>
        <v>36</v>
      </c>
      <c r="H146" s="331">
        <f>IF(G145+H144-H143&lt;G141,MAXA(I141,G141+H143-H144-G145),0)</f>
        <v>0</v>
      </c>
      <c r="I146" s="331">
        <f>IF(H145+I144-I143&lt;G141,MAXA(I141,G141+I143-I144-H145),0)</f>
        <v>36</v>
      </c>
      <c r="J146" s="331">
        <f>IF(I145+J144-J143&lt;G141,MAXA(I141,G141+J143-J144-I145),0)</f>
        <v>0</v>
      </c>
      <c r="K146" s="331">
        <f>IF(J145+K144-K143&lt;G141,MAXA(I141,G141+K143-K144-J145),0)</f>
        <v>36</v>
      </c>
      <c r="L146" s="331">
        <f>IF(K145+L144-L143&lt;G141,MAXA(I141,G141+L143-L144-K145),0)</f>
        <v>36</v>
      </c>
      <c r="M146" s="331">
        <f>IF(L145+M144-M143&lt;G141,MAXA(I141,G141+M143-M144-L145),0)</f>
        <v>0</v>
      </c>
      <c r="N146" s="331">
        <f>IF(M145+N144-N143&lt;G141,MAXA(I141,G141+N143-N144-M145),0)</f>
        <v>36</v>
      </c>
    </row>
    <row r="147" spans="1:14" ht="12.75">
      <c r="A147" s="330" t="s">
        <v>74</v>
      </c>
      <c r="B147" s="364">
        <f>ROUND(IF(K141=0,0,(IF(E141=2,SUM(B146:D146),IF(E141=7,SUM(B146:I146),0)))/K141),0)</f>
        <v>0</v>
      </c>
      <c r="C147" s="331">
        <f>ROUND(IF(K141=0,0,(IF(E141=2,E146,IF(E141=7,J146,0)))/K141),0)</f>
        <v>0</v>
      </c>
      <c r="D147" s="331">
        <f>ROUND(IF(K141=0,0,(IF(E141=2,F146,IF(E141=7,K146,0)))/K141),0)</f>
        <v>38</v>
      </c>
      <c r="E147" s="331">
        <f>ROUND(IF(K141=0,0,(IF(E141=2,G146,IF(E141=7,L146,0)))/K141),0)</f>
        <v>38</v>
      </c>
      <c r="F147" s="331">
        <f>ROUND(IF(K141=0,0,(IF(E141=2,H146,IF(E141=7,M146,0)))/K141),0)</f>
        <v>0</v>
      </c>
      <c r="G147" s="331">
        <f>ROUND(IF(K141=0,0,(IF(E141=2,I146,IF(E141=7,N146,0)))/K141),0)</f>
        <v>38</v>
      </c>
      <c r="H147" s="331">
        <f>ROUND(IF(K141=0,0,(IF(E141=2,J146,0))/K141),0)</f>
        <v>0</v>
      </c>
      <c r="I147" s="331">
        <f>ROUND(IF(K141=0,0,(IF(E141=2,K146,0))/K141),0)</f>
        <v>38</v>
      </c>
      <c r="J147" s="331">
        <f>ROUND(IF(K141=0,0,(IF(E141=2,L146,0))/K141),0)</f>
        <v>38</v>
      </c>
      <c r="K147" s="331">
        <f>ROUND(IF(K141=0,0,(IF(E141=2,M146,0))/K141),0)</f>
        <v>0</v>
      </c>
      <c r="L147" s="331">
        <f>ROUND(IF(K141=0,0,(IF(E141=2,N146,0))/K141),0)</f>
        <v>38</v>
      </c>
      <c r="M147" s="336"/>
      <c r="N147" s="336"/>
    </row>
    <row r="148" ht="12.75"/>
    <row r="149" spans="2:12" ht="12.75">
      <c r="B149" s="337" t="s">
        <v>43</v>
      </c>
      <c r="C149" s="334">
        <f>'Poliof40 - LIVROB'!$C$941</f>
        <v>16</v>
      </c>
      <c r="D149" s="338" t="s">
        <v>65</v>
      </c>
      <c r="E149" s="334">
        <f>'Poliof40 - LIVROB'!$E$572</f>
        <v>1</v>
      </c>
      <c r="F149" s="338" t="s">
        <v>66</v>
      </c>
      <c r="G149" s="119">
        <v>20</v>
      </c>
      <c r="H149" s="339" t="s">
        <v>67</v>
      </c>
      <c r="I149" s="119">
        <v>1</v>
      </c>
      <c r="J149" s="340" t="s">
        <v>44</v>
      </c>
      <c r="K149" s="335">
        <f>1-'Poliof40 - LIVROB'!$D$572</f>
        <v>0.99</v>
      </c>
      <c r="L149" s="114"/>
    </row>
    <row r="150" spans="1:14" ht="12.75">
      <c r="A150" s="360" t="s">
        <v>76</v>
      </c>
      <c r="B150" s="330" t="s">
        <v>69</v>
      </c>
      <c r="C150" s="330" t="s">
        <v>25</v>
      </c>
      <c r="D150" s="330" t="s">
        <v>26</v>
      </c>
      <c r="E150" s="330" t="s">
        <v>27</v>
      </c>
      <c r="F150" s="330" t="s">
        <v>28</v>
      </c>
      <c r="G150" s="330" t="s">
        <v>47</v>
      </c>
      <c r="H150" s="330" t="s">
        <v>48</v>
      </c>
      <c r="I150" s="330" t="s">
        <v>49</v>
      </c>
      <c r="J150" s="330" t="s">
        <v>50</v>
      </c>
      <c r="K150" s="330" t="s">
        <v>51</v>
      </c>
      <c r="L150" s="330" t="s">
        <v>52</v>
      </c>
      <c r="M150" s="330" t="s">
        <v>53</v>
      </c>
      <c r="N150" s="330" t="s">
        <v>54</v>
      </c>
    </row>
    <row r="151" spans="1:14" ht="12.75">
      <c r="A151" s="330" t="s">
        <v>70</v>
      </c>
      <c r="B151" s="336"/>
      <c r="C151" s="331">
        <f aca="true" t="shared" si="20" ref="C151:N151">C85+2*C92</f>
        <v>26</v>
      </c>
      <c r="D151" s="331">
        <f t="shared" si="20"/>
        <v>26</v>
      </c>
      <c r="E151" s="331">
        <f t="shared" si="20"/>
        <v>21</v>
      </c>
      <c r="F151" s="331">
        <f t="shared" si="20"/>
        <v>21</v>
      </c>
      <c r="G151" s="331">
        <f t="shared" si="20"/>
        <v>28</v>
      </c>
      <c r="H151" s="331">
        <f t="shared" si="20"/>
        <v>28</v>
      </c>
      <c r="I151" s="331">
        <f t="shared" si="20"/>
        <v>23</v>
      </c>
      <c r="J151" s="331">
        <f t="shared" si="20"/>
        <v>32</v>
      </c>
      <c r="K151" s="331">
        <f t="shared" si="20"/>
        <v>32</v>
      </c>
      <c r="L151" s="331">
        <f t="shared" si="20"/>
        <v>32</v>
      </c>
      <c r="M151" s="331">
        <f t="shared" si="20"/>
        <v>32</v>
      </c>
      <c r="N151" s="331">
        <f t="shared" si="20"/>
        <v>27</v>
      </c>
    </row>
    <row r="152" spans="1:14" ht="12.75">
      <c r="A152" s="330" t="s">
        <v>71</v>
      </c>
      <c r="B152" s="336"/>
      <c r="C152" s="331">
        <f>'Poliof40 - LIVROB'!$B$944</f>
        <v>28</v>
      </c>
      <c r="D152" s="331">
        <f>'Poliof40 - LIVROB'!$C$944</f>
        <v>0</v>
      </c>
      <c r="E152" s="331">
        <f>'Poliof40 - LIVROB'!$D$944</f>
        <v>0</v>
      </c>
      <c r="F152" s="331">
        <f>'Poliof40 - LIVROB'!$E$944</f>
        <v>0</v>
      </c>
      <c r="G152" s="331">
        <f>'Poliof40 - LIVROB'!$F$944</f>
        <v>0</v>
      </c>
      <c r="H152" s="331">
        <f>'Poliof40 - LIVROB'!$G$944</f>
        <v>0</v>
      </c>
      <c r="I152" s="331">
        <f>'Poliof40 - LIVROB'!$H$944</f>
        <v>0</v>
      </c>
      <c r="J152" s="331">
        <f>'Poliof40 - LIVROB'!$I$944</f>
        <v>0</v>
      </c>
      <c r="K152" s="331">
        <v>0</v>
      </c>
      <c r="L152" s="331">
        <v>0</v>
      </c>
      <c r="M152" s="331">
        <v>0</v>
      </c>
      <c r="N152" s="331">
        <v>0</v>
      </c>
    </row>
    <row r="153" spans="1:14" ht="12.75">
      <c r="A153" s="330" t="s">
        <v>72</v>
      </c>
      <c r="B153" s="331">
        <f>C149+B152+B154</f>
        <v>20</v>
      </c>
      <c r="C153" s="331">
        <f aca="true" t="shared" si="21" ref="C153:N153">B153+C154-C151+C152</f>
        <v>22</v>
      </c>
      <c r="D153" s="331">
        <f t="shared" si="21"/>
        <v>20</v>
      </c>
      <c r="E153" s="331">
        <f t="shared" si="21"/>
        <v>20</v>
      </c>
      <c r="F153" s="331">
        <f t="shared" si="21"/>
        <v>20</v>
      </c>
      <c r="G153" s="331">
        <f t="shared" si="21"/>
        <v>20</v>
      </c>
      <c r="H153" s="331">
        <f t="shared" si="21"/>
        <v>20</v>
      </c>
      <c r="I153" s="331">
        <f t="shared" si="21"/>
        <v>20</v>
      </c>
      <c r="J153" s="331">
        <f t="shared" si="21"/>
        <v>20</v>
      </c>
      <c r="K153" s="331">
        <f t="shared" si="21"/>
        <v>20</v>
      </c>
      <c r="L153" s="331">
        <f t="shared" si="21"/>
        <v>20</v>
      </c>
      <c r="M153" s="331">
        <f t="shared" si="21"/>
        <v>20</v>
      </c>
      <c r="N153" s="331">
        <f t="shared" si="21"/>
        <v>20</v>
      </c>
    </row>
    <row r="154" spans="1:14" ht="12.75">
      <c r="A154" s="330" t="s">
        <v>73</v>
      </c>
      <c r="B154" s="364">
        <f>IF(C149+B152&lt;G149,MAXA(I149,G149-C149-B152),0)</f>
        <v>4</v>
      </c>
      <c r="C154" s="331">
        <f>IF(B153+C152-C151&lt;G149,MAXA(I149,G149+C151-C152-B153),0)</f>
        <v>0</v>
      </c>
      <c r="D154" s="331">
        <f>IF(C153+D152-D151&lt;G149,MAXA(I149,G149+D151-D152-C153),0)</f>
        <v>24</v>
      </c>
      <c r="E154" s="331">
        <f>IF(D153+E152-E151&lt;G149,MAXA(I149,G149+E151-E152-D153),0)</f>
        <v>21</v>
      </c>
      <c r="F154" s="331">
        <f>IF(E153+F152-F151&lt;G149,MAXA(I149,G149+F151-F152-E153),0)</f>
        <v>21</v>
      </c>
      <c r="G154" s="331">
        <f>IF(F153+G152-G151&lt;G149,MAXA(I149,G149+G151-G152-F153),0)</f>
        <v>28</v>
      </c>
      <c r="H154" s="331">
        <f>IF(G153+H152-H151&lt;G149,MAXA(I149,G149+H151-H152-G153),0)</f>
        <v>28</v>
      </c>
      <c r="I154" s="331">
        <f>IF(H153+I152-I151&lt;G149,MAXA(I149,G149+I151-I152-H153),0)</f>
        <v>23</v>
      </c>
      <c r="J154" s="331">
        <f>IF(I153+J152-J151&lt;G149,MAXA(I149,G149+J151-J152-I153),0)</f>
        <v>32</v>
      </c>
      <c r="K154" s="331">
        <f>IF(J153+K152-K151&lt;G149,MAXA(I149,G149+K151-K152-J153),0)</f>
        <v>32</v>
      </c>
      <c r="L154" s="331">
        <f>IF(K153+L152-L151&lt;G149,MAXA(I149,G149+L151-L152-K153),0)</f>
        <v>32</v>
      </c>
      <c r="M154" s="331">
        <f>IF(L153+M152-M151&lt;G149,MAXA(I149,G149+M151-M152-L153),0)</f>
        <v>32</v>
      </c>
      <c r="N154" s="331">
        <f>IF(M153+N152-N151&lt;G149,MAXA(I149,G149+N151-N152-M153),0)</f>
        <v>27</v>
      </c>
    </row>
    <row r="155" spans="1:14" ht="12.75">
      <c r="A155" s="330" t="s">
        <v>74</v>
      </c>
      <c r="B155" s="364">
        <f>ROUND(IF(K149=0,0,(IF(E149=4,SUM(B154:F154),IF(E149=1,SUM(B154:C154),0)))/K149),0)</f>
        <v>4</v>
      </c>
      <c r="C155" s="331">
        <f>ROUND(IF(K149=0,0,(IF(E149=4,G154,IF(E149=1,D154,0)))/K149),0)</f>
        <v>24</v>
      </c>
      <c r="D155" s="331">
        <f>ROUND(IF(K149=0,0,(IF(E149=4,H154,IF(E149=1,E154,0)))/K149),0)</f>
        <v>21</v>
      </c>
      <c r="E155" s="331">
        <f>ROUND(IF(K149=0,0,(IF(E149=4,I154,IF(E149=1,F154,0)))/K149),0)</f>
        <v>21</v>
      </c>
      <c r="F155" s="331">
        <f>ROUND(IF(K149=0,0,(IF(E149=4,J154,IF(E149=1,G154,0)))/K149),0)</f>
        <v>28</v>
      </c>
      <c r="G155" s="331">
        <f>ROUND(IF(K149=0,0,(IF(E149=4,K154,IF(E149=1,H154,0)))/K149),0)</f>
        <v>28</v>
      </c>
      <c r="H155" s="331">
        <f>ROUND(IF(K149=0,0,(IF(E149=4,L154,IF(E149=1,I154,0)))/K149),0)</f>
        <v>23</v>
      </c>
      <c r="I155" s="331">
        <f>ROUND(IF(K149=0,0,(IF(E149=4,M154,IF(E149=1,J154,0)))/K149),0)</f>
        <v>32</v>
      </c>
      <c r="J155" s="331">
        <f>ROUND(IF(K149=0,0,(IF(E149=4,N154,IF(E149=1,K154,0)))/K149),0)</f>
        <v>32</v>
      </c>
      <c r="K155" s="331">
        <f>ROUND(IF(K149=0,0,(IF(E149=1,L154,0))/K149),0)</f>
        <v>32</v>
      </c>
      <c r="L155" s="331">
        <f>ROUND(IF(K149=0,0,(IF(E149=1,M154,0))/K149),0)</f>
        <v>32</v>
      </c>
      <c r="M155" s="336">
        <f>ROUND(IF(K149=0,0,(IF(E149=1,N154,0))/K149),0)</f>
        <v>27</v>
      </c>
      <c r="N155" s="336"/>
    </row>
    <row r="156" ht="12.75"/>
    <row r="157" spans="2:12" ht="12.75">
      <c r="B157" s="337" t="s">
        <v>43</v>
      </c>
      <c r="C157" s="334">
        <f>'Poliof40 - LIVROB'!$D$941</f>
        <v>16</v>
      </c>
      <c r="D157" s="338" t="s">
        <v>65</v>
      </c>
      <c r="E157" s="334">
        <f>'Poliof40 - LIVROB'!$E$573</f>
        <v>1</v>
      </c>
      <c r="F157" s="338" t="s">
        <v>66</v>
      </c>
      <c r="G157" s="119">
        <v>20</v>
      </c>
      <c r="H157" s="339" t="s">
        <v>67</v>
      </c>
      <c r="I157" s="119">
        <v>1</v>
      </c>
      <c r="J157" s="340" t="s">
        <v>44</v>
      </c>
      <c r="K157" s="335">
        <f>1-'Poliof40 - LIVROB'!$D$573</f>
        <v>0.99</v>
      </c>
      <c r="L157" s="114"/>
    </row>
    <row r="158" spans="1:14" ht="12.75">
      <c r="A158" s="360" t="s">
        <v>77</v>
      </c>
      <c r="B158" s="330" t="s">
        <v>69</v>
      </c>
      <c r="C158" s="330" t="s">
        <v>25</v>
      </c>
      <c r="D158" s="330" t="s">
        <v>26</v>
      </c>
      <c r="E158" s="330" t="s">
        <v>27</v>
      </c>
      <c r="F158" s="330" t="s">
        <v>28</v>
      </c>
      <c r="G158" s="330" t="s">
        <v>47</v>
      </c>
      <c r="H158" s="330" t="s">
        <v>48</v>
      </c>
      <c r="I158" s="330" t="s">
        <v>49</v>
      </c>
      <c r="J158" s="330" t="s">
        <v>50</v>
      </c>
      <c r="K158" s="330" t="s">
        <v>51</v>
      </c>
      <c r="L158" s="330" t="s">
        <v>52</v>
      </c>
      <c r="M158" s="330" t="s">
        <v>53</v>
      </c>
      <c r="N158" s="330" t="s">
        <v>54</v>
      </c>
    </row>
    <row r="159" spans="1:14" ht="12.75">
      <c r="A159" s="330" t="s">
        <v>70</v>
      </c>
      <c r="B159" s="336"/>
      <c r="C159" s="331">
        <f aca="true" t="shared" si="22" ref="C159:N159">C99+C106+C113</f>
        <v>48</v>
      </c>
      <c r="D159" s="331">
        <f t="shared" si="22"/>
        <v>46</v>
      </c>
      <c r="E159" s="331">
        <f t="shared" si="22"/>
        <v>37</v>
      </c>
      <c r="F159" s="331">
        <f t="shared" si="22"/>
        <v>31</v>
      </c>
      <c r="G159" s="331">
        <f t="shared" si="22"/>
        <v>59</v>
      </c>
      <c r="H159" s="331">
        <f t="shared" si="22"/>
        <v>50</v>
      </c>
      <c r="I159" s="331">
        <f t="shared" si="22"/>
        <v>52</v>
      </c>
      <c r="J159" s="331">
        <f t="shared" si="22"/>
        <v>45</v>
      </c>
      <c r="K159" s="331">
        <f t="shared" si="22"/>
        <v>69</v>
      </c>
      <c r="L159" s="331">
        <f t="shared" si="22"/>
        <v>58</v>
      </c>
      <c r="M159" s="331">
        <f t="shared" si="22"/>
        <v>53</v>
      </c>
      <c r="N159" s="331">
        <f t="shared" si="22"/>
        <v>46</v>
      </c>
    </row>
    <row r="160" spans="1:14" ht="12.75">
      <c r="A160" s="330" t="s">
        <v>71</v>
      </c>
      <c r="B160" s="336"/>
      <c r="C160" s="331">
        <f>'Poliof40 - LIVROB'!$B$945</f>
        <v>60</v>
      </c>
      <c r="D160" s="331">
        <f>'Poliof40 - LIVROB'!$C$945</f>
        <v>0</v>
      </c>
      <c r="E160" s="331">
        <f>'Poliof40 - LIVROB'!$D$945</f>
        <v>0</v>
      </c>
      <c r="F160" s="331">
        <f>'Poliof40 - LIVROB'!$E$945</f>
        <v>0</v>
      </c>
      <c r="G160" s="331">
        <f>'Poliof40 - LIVROB'!$F$945</f>
        <v>0</v>
      </c>
      <c r="H160" s="331">
        <f>'Poliof40 - LIVROB'!$G$945</f>
        <v>0</v>
      </c>
      <c r="I160" s="331">
        <f>'Poliof40 - LIVROB'!$H$945</f>
        <v>0</v>
      </c>
      <c r="J160" s="331">
        <f>'Poliof40 - LIVROB'!$I$945</f>
        <v>0</v>
      </c>
      <c r="K160" s="331">
        <v>0</v>
      </c>
      <c r="L160" s="331">
        <v>0</v>
      </c>
      <c r="M160" s="331">
        <v>0</v>
      </c>
      <c r="N160" s="331">
        <v>0</v>
      </c>
    </row>
    <row r="161" spans="1:14" ht="12.75">
      <c r="A161" s="330" t="s">
        <v>72</v>
      </c>
      <c r="B161" s="331">
        <f>C157+B160+B162</f>
        <v>20</v>
      </c>
      <c r="C161" s="331">
        <f aca="true" t="shared" si="23" ref="C161:N161">B161+C162-C159+C160</f>
        <v>32</v>
      </c>
      <c r="D161" s="331">
        <f t="shared" si="23"/>
        <v>20</v>
      </c>
      <c r="E161" s="331">
        <f t="shared" si="23"/>
        <v>20</v>
      </c>
      <c r="F161" s="331">
        <f t="shared" si="23"/>
        <v>20</v>
      </c>
      <c r="G161" s="331">
        <f t="shared" si="23"/>
        <v>20</v>
      </c>
      <c r="H161" s="331">
        <f t="shared" si="23"/>
        <v>20</v>
      </c>
      <c r="I161" s="331">
        <f t="shared" si="23"/>
        <v>20</v>
      </c>
      <c r="J161" s="331">
        <f t="shared" si="23"/>
        <v>20</v>
      </c>
      <c r="K161" s="331">
        <f t="shared" si="23"/>
        <v>20</v>
      </c>
      <c r="L161" s="331">
        <f t="shared" si="23"/>
        <v>20</v>
      </c>
      <c r="M161" s="331">
        <f t="shared" si="23"/>
        <v>20</v>
      </c>
      <c r="N161" s="331">
        <f t="shared" si="23"/>
        <v>20</v>
      </c>
    </row>
    <row r="162" spans="1:14" ht="12.75">
      <c r="A162" s="330" t="s">
        <v>73</v>
      </c>
      <c r="B162" s="364">
        <f>IF(C157+B160&lt;G157,MAXA(I157,G157-C157-B160),0)</f>
        <v>4</v>
      </c>
      <c r="C162" s="331">
        <f>IF(B161+C160-C159&lt;G157,MAXA(I157,G157+C159-C160-B161),0)</f>
        <v>0</v>
      </c>
      <c r="D162" s="331">
        <f>IF(C161+D160-D159&lt;G157,MAXA(I157,G157+D159-D160-C161),0)</f>
        <v>34</v>
      </c>
      <c r="E162" s="331">
        <f>IF(D161+E160-E159&lt;G157,MAXA(I157,G157+E159-E160-D161),0)</f>
        <v>37</v>
      </c>
      <c r="F162" s="331">
        <f>IF(E161+F160-F159&lt;G157,MAXA(I157,G157+F159-F160-E161),0)</f>
        <v>31</v>
      </c>
      <c r="G162" s="331">
        <f>IF(F161+G160-G159&lt;G157,MAXA(I157,G157+G159-G160-F161),0)</f>
        <v>59</v>
      </c>
      <c r="H162" s="331">
        <f>IF(G161+H160-H159&lt;G157,MAXA(I157,G157+H159-H160-G161),0)</f>
        <v>50</v>
      </c>
      <c r="I162" s="331">
        <f>IF(H161+I160-I159&lt;G157,MAXA(I157,G157+I159-I160-H161),0)</f>
        <v>52</v>
      </c>
      <c r="J162" s="331">
        <f>IF(I161+J160-J159&lt;G157,MAXA(I157,G157+J159-J160-I161),0)</f>
        <v>45</v>
      </c>
      <c r="K162" s="331">
        <f>IF(J161+K160-K159&lt;G157,MAXA(I157,G157+K159-K160-J161),0)</f>
        <v>69</v>
      </c>
      <c r="L162" s="331">
        <f>IF(K161+L160-L159&lt;G157,MAXA(I157,G157+L159-L160-K161),0)</f>
        <v>58</v>
      </c>
      <c r="M162" s="331">
        <f>IF(L161+M160-M159&lt;G157,MAXA(I157,G157+M159-M160-L161),0)</f>
        <v>53</v>
      </c>
      <c r="N162" s="331">
        <f>IF(M161+N160-N159&lt;G157,MAXA(I157,G157+N159-N160-M161),0)</f>
        <v>46</v>
      </c>
    </row>
    <row r="163" spans="1:14" ht="12.75">
      <c r="A163" s="330" t="s">
        <v>74</v>
      </c>
      <c r="B163" s="364">
        <f>ROUND(IF(K157=0,0,(IF(E157=4,SUM(B162:F162),IF(E157=1,SUM(B162:C162),0)))/K157),0)</f>
        <v>4</v>
      </c>
      <c r="C163" s="331">
        <f>ROUND(IF(K157=0,0,(IF(E157=4,G162,IF(E157=1,D162,0)))/K157),0)</f>
        <v>34</v>
      </c>
      <c r="D163" s="331">
        <f>ROUND(IF(K157=0,0,(IF(E157=4,H162,IF(E157=1,E162,0)))/K157),0)</f>
        <v>37</v>
      </c>
      <c r="E163" s="331">
        <f>ROUND(IF(K157=0,0,(IF(E157=4,I162,IF(E157=1,F162,0)))/K157),0)</f>
        <v>31</v>
      </c>
      <c r="F163" s="331">
        <f>ROUND(IF(K157=0,0,(IF(E157=4,J162,IF(E157=1,G162,0)))/K157),0)</f>
        <v>60</v>
      </c>
      <c r="G163" s="331">
        <f>ROUND(IF(K157=0,0,(IF(E157=4,K162,IF(E157=1,H162,0)))/K157),0)</f>
        <v>51</v>
      </c>
      <c r="H163" s="331">
        <f>ROUND(IF(K157=0,0,(IF(E157=4,L162,IF(E157=1,I162,0)))/K157),0)</f>
        <v>53</v>
      </c>
      <c r="I163" s="331">
        <f>ROUND(IF(K157=0,0,(IF(E157=4,M162,IF(E157=1,J162,0)))/K157),0)</f>
        <v>45</v>
      </c>
      <c r="J163" s="331">
        <f>ROUND(IF(K157=0,0,(IF(E157=4,N162,IF(E157=1,K162,0)))/K157),0)</f>
        <v>70</v>
      </c>
      <c r="K163" s="331">
        <f>ROUND(IF(K157=0,0,(IF(E157=1,L162,0))/K157),0)</f>
        <v>59</v>
      </c>
      <c r="L163" s="331">
        <f>ROUND(IF(K157=0,0,(IF(E157=1,M162,0))/K157),0)</f>
        <v>54</v>
      </c>
      <c r="M163" s="336">
        <f>ROUND(IF(K157=0,0,(IF(E157=1,N162,0))/K157),0)</f>
        <v>46</v>
      </c>
      <c r="N163" s="336"/>
    </row>
    <row r="164" ht="12.75"/>
    <row r="165" spans="2:12" ht="12.75">
      <c r="B165" s="337" t="s">
        <v>43</v>
      </c>
      <c r="C165" s="334">
        <f>'Poliof40 - LIVROB'!$F$941</f>
        <v>50</v>
      </c>
      <c r="D165" s="340" t="s">
        <v>78</v>
      </c>
      <c r="E165" s="445">
        <v>1</v>
      </c>
      <c r="F165" s="338" t="s">
        <v>66</v>
      </c>
      <c r="G165" s="119">
        <v>20</v>
      </c>
      <c r="H165" s="339" t="s">
        <v>67</v>
      </c>
      <c r="I165" s="119">
        <v>1</v>
      </c>
      <c r="J165" s="340" t="s">
        <v>44</v>
      </c>
      <c r="K165" s="335">
        <f>1-'Poliof40 - LIVROB'!$D$551</f>
        <v>0.95</v>
      </c>
      <c r="L165" s="114"/>
    </row>
    <row r="166" spans="1:14" ht="12.75">
      <c r="A166" s="360" t="s">
        <v>79</v>
      </c>
      <c r="B166" s="330" t="s">
        <v>69</v>
      </c>
      <c r="C166" s="330" t="s">
        <v>25</v>
      </c>
      <c r="D166" s="330" t="s">
        <v>26</v>
      </c>
      <c r="E166" s="330" t="s">
        <v>27</v>
      </c>
      <c r="F166" s="330" t="s">
        <v>28</v>
      </c>
      <c r="G166" s="330" t="s">
        <v>47</v>
      </c>
      <c r="H166" s="330" t="s">
        <v>48</v>
      </c>
      <c r="I166" s="330" t="s">
        <v>49</v>
      </c>
      <c r="J166" s="330" t="s">
        <v>50</v>
      </c>
      <c r="K166" s="330" t="s">
        <v>51</v>
      </c>
      <c r="L166" s="330" t="s">
        <v>52</v>
      </c>
      <c r="M166" s="330" t="s">
        <v>53</v>
      </c>
      <c r="N166" s="330" t="s">
        <v>54</v>
      </c>
    </row>
    <row r="167" spans="1:14" ht="12.75">
      <c r="A167" s="330" t="s">
        <v>70</v>
      </c>
      <c r="B167" s="336"/>
      <c r="C167" s="331">
        <f aca="true" t="shared" si="24" ref="C167:N167">C85+2*C92</f>
        <v>26</v>
      </c>
      <c r="D167" s="331">
        <f t="shared" si="24"/>
        <v>26</v>
      </c>
      <c r="E167" s="331">
        <f t="shared" si="24"/>
        <v>21</v>
      </c>
      <c r="F167" s="331">
        <f t="shared" si="24"/>
        <v>21</v>
      </c>
      <c r="G167" s="331">
        <f t="shared" si="24"/>
        <v>28</v>
      </c>
      <c r="H167" s="331">
        <f t="shared" si="24"/>
        <v>28</v>
      </c>
      <c r="I167" s="331">
        <f t="shared" si="24"/>
        <v>23</v>
      </c>
      <c r="J167" s="331">
        <f t="shared" si="24"/>
        <v>32</v>
      </c>
      <c r="K167" s="331">
        <f t="shared" si="24"/>
        <v>32</v>
      </c>
      <c r="L167" s="331">
        <f t="shared" si="24"/>
        <v>32</v>
      </c>
      <c r="M167" s="331">
        <f t="shared" si="24"/>
        <v>32</v>
      </c>
      <c r="N167" s="331">
        <f t="shared" si="24"/>
        <v>27</v>
      </c>
    </row>
    <row r="168" spans="1:14" ht="12.75">
      <c r="A168" s="330" t="s">
        <v>71</v>
      </c>
      <c r="B168" s="336"/>
      <c r="C168" s="331">
        <f>IF('Poliof40 - LIVROB'!$G$511=3,'Poliof40 - LIVROB'!$B$953,0)</f>
        <v>0</v>
      </c>
      <c r="D168" s="331">
        <f>IF('Poliof40 - LIVROB'!$G$511=3,'Poliof40 - LIVROB'!$C$953,0)</f>
        <v>0</v>
      </c>
      <c r="E168" s="331">
        <f>IF('Poliof40 - LIVROB'!$G$511=3,'Poliof40 - LIVROB'!$D$953,0)</f>
        <v>0</v>
      </c>
      <c r="F168" s="331">
        <f>IF('Poliof40 - LIVROB'!$G$511=3,'Poliof40 - LIVROB'!$E$953,0)</f>
        <v>0</v>
      </c>
      <c r="G168" s="331">
        <f>IF('Poliof40 - LIVROB'!$G$511=3,'Poliof40 - LIVROB'!$F$953,0)</f>
        <v>0</v>
      </c>
      <c r="H168" s="331">
        <f>IF('Poliof40 - LIVROB'!$G$511=3,'Poliof40 - LIVROB'!$G$953,0)</f>
        <v>0</v>
      </c>
      <c r="I168" s="331">
        <f>IF('Poliof40 - LIVROB'!$G$511=3,'Poliof40 - LIVROB'!$H$953,0)</f>
        <v>0</v>
      </c>
      <c r="J168" s="331">
        <f>IF('Poliof40 - LIVROB'!$G$511=3,'Poliof40 - LIVROB'!$I$953,0)</f>
        <v>0</v>
      </c>
      <c r="K168" s="336">
        <f>IF('Poliof40 - LIVROB'!$G$511=3,'Poliof40 - LIVROB'!$J$953,0)</f>
        <v>0</v>
      </c>
      <c r="L168" s="336">
        <f>IF('Poliof40 - LIVROB'!$G$511=3,'Poliof40 - LIVROB'!$K$953,0)</f>
        <v>0</v>
      </c>
      <c r="M168" s="336">
        <f>IF('Poliof40 - LIVROB'!$G$511=3,'Poliof40 - LIVROB'!$L$953,0)</f>
        <v>0</v>
      </c>
      <c r="N168" s="336">
        <f>IF('Poliof40 - LIVROB'!$G$511=3,'Poliof40 - LIVROB'!$M$953,0)</f>
        <v>0</v>
      </c>
    </row>
    <row r="169" spans="1:14" ht="12.75">
      <c r="A169" s="330" t="s">
        <v>72</v>
      </c>
      <c r="B169" s="331">
        <f>C165+B168+B170</f>
        <v>50</v>
      </c>
      <c r="C169" s="331">
        <f aca="true" t="shared" si="25" ref="C169:N169">B169+C170-C167+C168</f>
        <v>24</v>
      </c>
      <c r="D169" s="331">
        <f t="shared" si="25"/>
        <v>20</v>
      </c>
      <c r="E169" s="331">
        <f t="shared" si="25"/>
        <v>20</v>
      </c>
      <c r="F169" s="331">
        <f t="shared" si="25"/>
        <v>20</v>
      </c>
      <c r="G169" s="331">
        <f t="shared" si="25"/>
        <v>20</v>
      </c>
      <c r="H169" s="331">
        <f t="shared" si="25"/>
        <v>20</v>
      </c>
      <c r="I169" s="331">
        <f t="shared" si="25"/>
        <v>20</v>
      </c>
      <c r="J169" s="331">
        <f t="shared" si="25"/>
        <v>20</v>
      </c>
      <c r="K169" s="331">
        <f t="shared" si="25"/>
        <v>20</v>
      </c>
      <c r="L169" s="331">
        <f t="shared" si="25"/>
        <v>20</v>
      </c>
      <c r="M169" s="331">
        <f t="shared" si="25"/>
        <v>20</v>
      </c>
      <c r="N169" s="331">
        <f t="shared" si="25"/>
        <v>20</v>
      </c>
    </row>
    <row r="170" spans="1:14" ht="12.75">
      <c r="A170" s="330" t="s">
        <v>73</v>
      </c>
      <c r="B170" s="364">
        <f>IF(C165+B168&lt;G165,MAXA(I165,G165-C165-B168),0)</f>
        <v>0</v>
      </c>
      <c r="C170" s="331">
        <f>IF(B169+C168-C167&lt;G165,MAXA(I165,G165+C167-C168-B169),0)</f>
        <v>0</v>
      </c>
      <c r="D170" s="331">
        <f>IF(C169+D168-D167&lt;G165,MAXA(I165,G165+D167-D168-C169),0)</f>
        <v>22</v>
      </c>
      <c r="E170" s="331">
        <f>IF(D169+E168-E167&lt;G165,MAXA(I165,G165+E167-E168-D169),0)</f>
        <v>21</v>
      </c>
      <c r="F170" s="331">
        <f>IF(E169+F168-F167&lt;G165,MAXA(I165,G165+F167-F168-E169),0)</f>
        <v>21</v>
      </c>
      <c r="G170" s="331">
        <f>IF(F169+G168-G167&lt;G165,MAXA(I165,G165+G167-G168-F169),0)</f>
        <v>28</v>
      </c>
      <c r="H170" s="331">
        <f>IF(G169+H168-H167&lt;G165,MAXA(I165,G165+H167-H168-G169),0)</f>
        <v>28</v>
      </c>
      <c r="I170" s="331">
        <f>IF(H169+I168-I167&lt;G165,MAXA(I165,G165+I167-I168-H169),0)</f>
        <v>23</v>
      </c>
      <c r="J170" s="331">
        <f>IF(I169+J168-J167&lt;G165,MAXA(I165,G165+J167-J168-I169),0)</f>
        <v>32</v>
      </c>
      <c r="K170" s="331">
        <f>IF(J169+K168-K167&lt;G165,MAXA(I165,G165+K167-K168-J169),0)</f>
        <v>32</v>
      </c>
      <c r="L170" s="331">
        <f>IF(K169+L168-L167&lt;G165,MAXA(I165,G165+L167-L168-K169),0)</f>
        <v>32</v>
      </c>
      <c r="M170" s="331">
        <f>IF(L169+M168-M167&lt;G165,MAXA(I165,G165+M167-M168-L169),0)</f>
        <v>32</v>
      </c>
      <c r="N170" s="331">
        <f>IF(M169+N168-N167&lt;G165,MAXA(I165,G165+N167-N168-M169),0)</f>
        <v>27</v>
      </c>
    </row>
    <row r="171" spans="1:14" ht="12.75">
      <c r="A171" s="330" t="s">
        <v>74</v>
      </c>
      <c r="B171" s="364">
        <f>ROUND(IF(K165=0,0,(IF(E165=1,SUM(B170:C170),IF(E165=2,SUM(B170:D170),IF(E165=3,SUM(B170:E170),IF(E165=4,SUM(B170:F170),0)))))/K165),0)</f>
        <v>0</v>
      </c>
      <c r="C171" s="331">
        <f>ROUND(IF(K165=0,0,(IF(E165=1,D170,IF(E165=2,E170,IF(E165=3,F170,IF(E165=4,G170,0)))))/K165),0)</f>
        <v>23</v>
      </c>
      <c r="D171" s="331">
        <f>ROUND(IF(K165=0,0,(IF(E165=1,E170,IF(E165=2,F170,IF(E165=3,G170,IF(E165=4,H170,0)))))/K165),0)</f>
        <v>22</v>
      </c>
      <c r="E171" s="331">
        <f>ROUND(IF(K165=0,0,(IF(E165=1,F170,IF(E165=2,G170,IF(E165=3,H170,IF(E165=4,I170,0)))))/K165),0)</f>
        <v>22</v>
      </c>
      <c r="F171" s="331">
        <f>ROUND(IF(K165=0,0,(IF(E165=1,G170,IF(E165=2,H170,IF(E165=3,I170,IF(E165=4,J170,0)))))/K165),0)</f>
        <v>29</v>
      </c>
      <c r="G171" s="331">
        <f>ROUND(IF(K165=0,0,(IF(E165=1,H170,IF(E165=2,I170,IF(E165=3,J170,IF(E165=4,K170,0)))))/K165),0)</f>
        <v>29</v>
      </c>
      <c r="H171" s="331">
        <f>ROUND(IF(K165=0,0,(IF(E165=1,I170,IF(E165=2,J170,IF(E165=3,K170,IF(E165=4,L170,0)))))/K165),0)</f>
        <v>24</v>
      </c>
      <c r="I171" s="331">
        <f>ROUND(IF(K165=0,0,(IF(E165=1,J170,IF(E165=2,K170,IF(E165=3,L170,IF(E165=4,M170,0)))))/K165),0)</f>
        <v>34</v>
      </c>
      <c r="J171" s="331">
        <f>ROUND(IF(K165=0,0,(IF(E165=1,K170,IF(E165=2,L170,IF(E165=3,M170,IF(E165=4,N170,0)))))/K165),0)</f>
        <v>34</v>
      </c>
      <c r="K171" s="331">
        <f>ROUND(IF(K165=0,0,(IF(E165=1,L170,IF(E165=2,M170,IF(E165=3,N170,0))))/K165),0)</f>
        <v>34</v>
      </c>
      <c r="L171" s="331">
        <f>ROUND(IF(K165=0,0,(IF(E165=1,M170,IF(E165=2,N170,0)))/K165),0)</f>
        <v>34</v>
      </c>
      <c r="M171" s="336">
        <f>ROUND(IF(K165=0,0,(IF(E165=1,N170,0))/K165),0)</f>
        <v>28</v>
      </c>
      <c r="N171" s="336"/>
    </row>
    <row r="172" ht="12.75"/>
    <row r="173" spans="2:12" ht="12.75">
      <c r="B173" s="337" t="s">
        <v>43</v>
      </c>
      <c r="C173" s="334">
        <f>'Poliof40 - LIVROB'!$G$941</f>
        <v>82</v>
      </c>
      <c r="D173" s="338" t="s">
        <v>78</v>
      </c>
      <c r="E173" s="445">
        <v>1</v>
      </c>
      <c r="F173" s="338" t="s">
        <v>66</v>
      </c>
      <c r="G173" s="119">
        <v>20</v>
      </c>
      <c r="H173" s="339" t="s">
        <v>67</v>
      </c>
      <c r="I173" s="119">
        <v>1</v>
      </c>
      <c r="J173" s="340" t="s">
        <v>44</v>
      </c>
      <c r="K173" s="335">
        <f>1-'Poliof40 - LIVROB'!$D$552</f>
        <v>0.95</v>
      </c>
      <c r="L173" s="114"/>
    </row>
    <row r="174" spans="1:14" ht="12.75">
      <c r="A174" s="360" t="s">
        <v>80</v>
      </c>
      <c r="B174" s="330" t="s">
        <v>69</v>
      </c>
      <c r="C174" s="330" t="s">
        <v>25</v>
      </c>
      <c r="D174" s="330" t="s">
        <v>26</v>
      </c>
      <c r="E174" s="330" t="s">
        <v>27</v>
      </c>
      <c r="F174" s="330" t="s">
        <v>28</v>
      </c>
      <c r="G174" s="330" t="s">
        <v>47</v>
      </c>
      <c r="H174" s="330" t="s">
        <v>48</v>
      </c>
      <c r="I174" s="330" t="s">
        <v>49</v>
      </c>
      <c r="J174" s="330" t="s">
        <v>50</v>
      </c>
      <c r="K174" s="330" t="s">
        <v>51</v>
      </c>
      <c r="L174" s="330" t="s">
        <v>52</v>
      </c>
      <c r="M174" s="330" t="s">
        <v>53</v>
      </c>
      <c r="N174" s="330" t="s">
        <v>54</v>
      </c>
    </row>
    <row r="175" spans="1:14" ht="12.75">
      <c r="A175" s="330" t="s">
        <v>70</v>
      </c>
      <c r="B175" s="336"/>
      <c r="C175" s="331">
        <f aca="true" t="shared" si="26" ref="C175:N175">C99+C106+C113</f>
        <v>48</v>
      </c>
      <c r="D175" s="331">
        <f t="shared" si="26"/>
        <v>46</v>
      </c>
      <c r="E175" s="331">
        <f t="shared" si="26"/>
        <v>37</v>
      </c>
      <c r="F175" s="331">
        <f t="shared" si="26"/>
        <v>31</v>
      </c>
      <c r="G175" s="331">
        <f t="shared" si="26"/>
        <v>59</v>
      </c>
      <c r="H175" s="331">
        <f t="shared" si="26"/>
        <v>50</v>
      </c>
      <c r="I175" s="331">
        <f t="shared" si="26"/>
        <v>52</v>
      </c>
      <c r="J175" s="331">
        <f t="shared" si="26"/>
        <v>45</v>
      </c>
      <c r="K175" s="331">
        <f t="shared" si="26"/>
        <v>69</v>
      </c>
      <c r="L175" s="331">
        <f t="shared" si="26"/>
        <v>58</v>
      </c>
      <c r="M175" s="331">
        <f t="shared" si="26"/>
        <v>53</v>
      </c>
      <c r="N175" s="331">
        <f t="shared" si="26"/>
        <v>46</v>
      </c>
    </row>
    <row r="176" spans="1:14" ht="12.75">
      <c r="A176" s="330" t="s">
        <v>71</v>
      </c>
      <c r="B176" s="336"/>
      <c r="C176" s="331">
        <f>IF('Poliof40 - LIVROB'!$G$511=3,'Poliof40 - LIVROB'!$B$954,0)</f>
        <v>0</v>
      </c>
      <c r="D176" s="331">
        <f>IF('Poliof40 - LIVROB'!$G$511=3,'Poliof40 - LIVROB'!$C$954,0)</f>
        <v>0</v>
      </c>
      <c r="E176" s="331">
        <f>IF('Poliof40 - LIVROB'!$G$511=3,'Poliof40 - LIVROB'!$D$954,0)</f>
        <v>0</v>
      </c>
      <c r="F176" s="331">
        <f>IF('Poliof40 - LIVROB'!$G$511=3,'Poliof40 - LIVROB'!$E$954,0)</f>
        <v>0</v>
      </c>
      <c r="G176" s="331">
        <f>IF('Poliof40 - LIVROB'!$G$511=3,'Poliof40 - LIVROB'!$F$954,0)</f>
        <v>0</v>
      </c>
      <c r="H176" s="331">
        <f>IF('Poliof40 - LIVROB'!$G$511=3,'Poliof40 - LIVROB'!$G$954,0)</f>
        <v>0</v>
      </c>
      <c r="I176" s="331">
        <f>IF('Poliof40 - LIVROB'!$G$511=3,'Poliof40 - LIVROB'!$H$954,0)</f>
        <v>0</v>
      </c>
      <c r="J176" s="331">
        <f>IF('Poliof40 - LIVROB'!$G$511=3,'Poliof40 - LIVROB'!$I$954,0)</f>
        <v>0</v>
      </c>
      <c r="K176" s="336">
        <f>IF('Poliof40 - LIVROB'!$G$511=3,'Poliof40 - LIVROB'!$J$954,0)</f>
        <v>0</v>
      </c>
      <c r="L176" s="336">
        <f>IF('Poliof40 - LIVROB'!$G$511=3,'Poliof40 - LIVROB'!$K$954,0)</f>
        <v>0</v>
      </c>
      <c r="M176" s="336">
        <f>IF('Poliof40 - LIVROB'!$G$511=3,'Poliof40 - LIVROB'!$L$954,0)</f>
        <v>0</v>
      </c>
      <c r="N176" s="336">
        <f>IF('Poliof40 - LIVROB'!$G$511=3,'Poliof40 - LIVROB'!$M$954,0)</f>
        <v>0</v>
      </c>
    </row>
    <row r="177" spans="1:14" ht="12.75">
      <c r="A177" s="330" t="s">
        <v>72</v>
      </c>
      <c r="B177" s="331">
        <f>C173+B176+B178</f>
        <v>82</v>
      </c>
      <c r="C177" s="331">
        <f aca="true" t="shared" si="27" ref="C177:N177">B177+C178-C175+C176</f>
        <v>34</v>
      </c>
      <c r="D177" s="331">
        <f t="shared" si="27"/>
        <v>20</v>
      </c>
      <c r="E177" s="331">
        <f t="shared" si="27"/>
        <v>20</v>
      </c>
      <c r="F177" s="331">
        <f t="shared" si="27"/>
        <v>20</v>
      </c>
      <c r="G177" s="331">
        <f t="shared" si="27"/>
        <v>20</v>
      </c>
      <c r="H177" s="331">
        <f t="shared" si="27"/>
        <v>20</v>
      </c>
      <c r="I177" s="331">
        <f t="shared" si="27"/>
        <v>20</v>
      </c>
      <c r="J177" s="331">
        <f t="shared" si="27"/>
        <v>20</v>
      </c>
      <c r="K177" s="331">
        <f t="shared" si="27"/>
        <v>20</v>
      </c>
      <c r="L177" s="331">
        <f t="shared" si="27"/>
        <v>20</v>
      </c>
      <c r="M177" s="331">
        <f t="shared" si="27"/>
        <v>20</v>
      </c>
      <c r="N177" s="331">
        <f t="shared" si="27"/>
        <v>20</v>
      </c>
    </row>
    <row r="178" spans="1:14" ht="12.75">
      <c r="A178" s="330" t="s">
        <v>73</v>
      </c>
      <c r="B178" s="364">
        <f>IF(C173+B176&lt;G173,MAXA(I173,G173-C173-B176),0)</f>
        <v>0</v>
      </c>
      <c r="C178" s="331">
        <f>IF(B177+C176-C175&lt;G173,MAXA(I173,G173+C175-C176-B177),0)</f>
        <v>0</v>
      </c>
      <c r="D178" s="331">
        <f>IF(C177+D176-D175&lt;G173,MAXA(I173,G173+D175-D176-C177),0)</f>
        <v>32</v>
      </c>
      <c r="E178" s="331">
        <f>IF(D177+E176-E175&lt;G173,MAXA(I173,G173+E175-E176-D177),0)</f>
        <v>37</v>
      </c>
      <c r="F178" s="331">
        <f>IF(E177+F176-F175&lt;G173,MAXA(I173,G173+F175-F176-E177),0)</f>
        <v>31</v>
      </c>
      <c r="G178" s="331">
        <f>IF(F177+G176-G175&lt;G173,MAXA(I173,G173+G175-G176-F177),0)</f>
        <v>59</v>
      </c>
      <c r="H178" s="331">
        <f>IF(G177+H176-H175&lt;G173,MAXA(I173,G173+H175-H176-G177),0)</f>
        <v>50</v>
      </c>
      <c r="I178" s="331">
        <f>IF(H177+I176-I175&lt;G173,MAXA(I173,G173+I175-I176-H177),0)</f>
        <v>52</v>
      </c>
      <c r="J178" s="331">
        <f>IF(I177+J176-J175&lt;G173,MAXA(I173,G173+J175-J176-I177),0)</f>
        <v>45</v>
      </c>
      <c r="K178" s="331">
        <f>IF(J177+K176-K175&lt;G173,MAXA(I173,G173+K175-K176-J177),0)</f>
        <v>69</v>
      </c>
      <c r="L178" s="331">
        <f>IF(K177+L176-L175&lt;G173,MAXA(I173,G173+L175-L176-K177),0)</f>
        <v>58</v>
      </c>
      <c r="M178" s="331">
        <f>IF(L177+M176-M175&lt;G173,MAXA(I173,G173+M175-M176-L177),0)</f>
        <v>53</v>
      </c>
      <c r="N178" s="331">
        <f>IF(M177+N176-N175&lt;G173,MAXA(I173,G173+N175-N176-M177),0)</f>
        <v>46</v>
      </c>
    </row>
    <row r="179" spans="1:14" ht="12.75">
      <c r="A179" s="330" t="s">
        <v>74</v>
      </c>
      <c r="B179" s="364">
        <f>ROUND(IF(K173=0,0,(IF(E173=1,SUM(B178:C178),IF(E173=2,SUM(B178:D178),IF(E173=3,SUM(B178:E178),IF(E173=4,SUM(B178:F178),0)))))/K173),0)</f>
        <v>0</v>
      </c>
      <c r="C179" s="331">
        <f>ROUND(IF(K173=0,0,(IF(E173=1,D178,IF(E173=2,E178,IF(E173=3,F178,IF(E173=4,G178,0)))))/K173),0)</f>
        <v>34</v>
      </c>
      <c r="D179" s="331">
        <f>ROUND(IF(K173=0,0,(IF(E173=1,E178,IF(E173=2,F178,IF(E173=3,G178,IF(E173=4,H178,0)))))/K173),0)</f>
        <v>39</v>
      </c>
      <c r="E179" s="331">
        <f>ROUND(IF(K173=0,0,(IF(E173=1,F178,IF(E173=2,G178,IF(E173=3,H178,IF(E173=4,I178,0)))))/K173),0)</f>
        <v>33</v>
      </c>
      <c r="F179" s="331">
        <f>ROUND(IF(K173=0,0,(IF(E173=1,G178,IF(E173=2,H178,IF(E173=3,I178,IF(E173=4,J178,0)))))/K173),0)</f>
        <v>62</v>
      </c>
      <c r="G179" s="331">
        <f>ROUND(IF(K173=0,0,(IF(E173=1,H178,IF(E173=2,I178,IF(E173=3,J178,IF(E173=4,K178,0)))))/K173),0)</f>
        <v>53</v>
      </c>
      <c r="H179" s="331">
        <f>ROUND(IF(K173=0,0,(IF(E173=1,I178,IF(E173=2,J178,IF(E173=3,K178,IF(E173=4,L178,0)))))/K173),0)</f>
        <v>55</v>
      </c>
      <c r="I179" s="331">
        <f>ROUND(IF(K173=0,0,(IF(E173=1,J178,IF(E173=2,K178,IF(E173=3,L178,IF(E173=4,M178,0)))))/K173),0)</f>
        <v>47</v>
      </c>
      <c r="J179" s="331">
        <f>ROUND(IF(K173=0,0,(IF(E173=1,K178,IF(E173=2,L178,IF(E173=3,M178,IF(E173=4,N178,0)))))/K173),0)</f>
        <v>73</v>
      </c>
      <c r="K179" s="331">
        <f>ROUND(IF(K173=0,0,(IF(E173=1,L178,IF(E173=2,M178,IF(E173=3,N178,0))))/K173),0)</f>
        <v>61</v>
      </c>
      <c r="L179" s="331">
        <f>ROUND(IF(K173=0,0,(IF(E173=1,M178,IF(E173=2,N178,0)))/K173),0)</f>
        <v>56</v>
      </c>
      <c r="M179" s="336">
        <f>ROUND(IF(K173=0,0,(IF(E173=1,N178,0))/K173),0)</f>
        <v>48</v>
      </c>
      <c r="N179" s="336"/>
    </row>
    <row r="180" ht="12.75"/>
    <row r="181" spans="2:12" ht="12.75">
      <c r="B181" s="341" t="s">
        <v>43</v>
      </c>
      <c r="C181" s="334">
        <f>'Poliof40 - LIVROB'!$H$941</f>
        <v>36</v>
      </c>
      <c r="D181" s="330" t="s">
        <v>78</v>
      </c>
      <c r="E181" s="444">
        <v>1</v>
      </c>
      <c r="F181" s="330" t="s">
        <v>66</v>
      </c>
      <c r="G181" s="119">
        <v>20</v>
      </c>
      <c r="H181" s="342" t="s">
        <v>67</v>
      </c>
      <c r="I181" s="119">
        <v>1</v>
      </c>
      <c r="J181" s="329" t="s">
        <v>44</v>
      </c>
      <c r="K181" s="335">
        <f>1-'Poliof40 - LIVROB'!$D$554</f>
        <v>0.9</v>
      </c>
      <c r="L181" s="114"/>
    </row>
    <row r="182" spans="1:14" ht="12.75">
      <c r="A182" s="360" t="s">
        <v>81</v>
      </c>
      <c r="B182" s="330" t="s">
        <v>69</v>
      </c>
      <c r="C182" s="330" t="s">
        <v>25</v>
      </c>
      <c r="D182" s="330" t="s">
        <v>26</v>
      </c>
      <c r="E182" s="330" t="s">
        <v>27</v>
      </c>
      <c r="F182" s="330" t="s">
        <v>28</v>
      </c>
      <c r="G182" s="330" t="s">
        <v>47</v>
      </c>
      <c r="H182" s="330" t="s">
        <v>48</v>
      </c>
      <c r="I182" s="330" t="s">
        <v>49</v>
      </c>
      <c r="J182" s="330" t="s">
        <v>50</v>
      </c>
      <c r="K182" s="330" t="s">
        <v>51</v>
      </c>
      <c r="L182" s="330" t="s">
        <v>52</v>
      </c>
      <c r="M182" s="330" t="s">
        <v>53</v>
      </c>
      <c r="N182" s="330" t="s">
        <v>54</v>
      </c>
    </row>
    <row r="183" spans="1:14" ht="12.75">
      <c r="A183" s="330" t="s">
        <v>70</v>
      </c>
      <c r="B183" s="336"/>
      <c r="C183" s="331">
        <f aca="true" t="shared" si="28" ref="C183:N183">C85</f>
        <v>16</v>
      </c>
      <c r="D183" s="331">
        <f t="shared" si="28"/>
        <v>16</v>
      </c>
      <c r="E183" s="331">
        <f t="shared" si="28"/>
        <v>11</v>
      </c>
      <c r="F183" s="331">
        <f t="shared" si="28"/>
        <v>11</v>
      </c>
      <c r="G183" s="331">
        <f t="shared" si="28"/>
        <v>16</v>
      </c>
      <c r="H183" s="331">
        <f t="shared" si="28"/>
        <v>16</v>
      </c>
      <c r="I183" s="331">
        <f t="shared" si="28"/>
        <v>11</v>
      </c>
      <c r="J183" s="331">
        <f t="shared" si="28"/>
        <v>16</v>
      </c>
      <c r="K183" s="331">
        <f t="shared" si="28"/>
        <v>16</v>
      </c>
      <c r="L183" s="331">
        <f t="shared" si="28"/>
        <v>16</v>
      </c>
      <c r="M183" s="331">
        <f t="shared" si="28"/>
        <v>16</v>
      </c>
      <c r="N183" s="331">
        <f t="shared" si="28"/>
        <v>11</v>
      </c>
    </row>
    <row r="184" spans="1:14" ht="12.75">
      <c r="A184" s="330" t="s">
        <v>72</v>
      </c>
      <c r="B184" s="331">
        <f>C181+B185</f>
        <v>36</v>
      </c>
      <c r="C184" s="331">
        <f aca="true" t="shared" si="29" ref="C184:N184">B184+C185-C183</f>
        <v>20</v>
      </c>
      <c r="D184" s="331">
        <f t="shared" si="29"/>
        <v>20</v>
      </c>
      <c r="E184" s="331">
        <f t="shared" si="29"/>
        <v>20</v>
      </c>
      <c r="F184" s="331">
        <f t="shared" si="29"/>
        <v>20</v>
      </c>
      <c r="G184" s="331">
        <f t="shared" si="29"/>
        <v>20</v>
      </c>
      <c r="H184" s="331">
        <f t="shared" si="29"/>
        <v>20</v>
      </c>
      <c r="I184" s="331">
        <f t="shared" si="29"/>
        <v>20</v>
      </c>
      <c r="J184" s="331">
        <f t="shared" si="29"/>
        <v>20</v>
      </c>
      <c r="K184" s="331">
        <f t="shared" si="29"/>
        <v>20</v>
      </c>
      <c r="L184" s="331">
        <f t="shared" si="29"/>
        <v>20</v>
      </c>
      <c r="M184" s="331">
        <f t="shared" si="29"/>
        <v>20</v>
      </c>
      <c r="N184" s="331">
        <f t="shared" si="29"/>
        <v>20</v>
      </c>
    </row>
    <row r="185" spans="1:14" ht="12.75">
      <c r="A185" s="330" t="s">
        <v>82</v>
      </c>
      <c r="B185" s="364">
        <f>IF(C181&lt;G181,MAXA(I181,G181-C181),0)</f>
        <v>0</v>
      </c>
      <c r="C185" s="331">
        <f>IF(B184-C183&lt;G181,MAXA(I181,G181+C183-B184),0)</f>
        <v>0</v>
      </c>
      <c r="D185" s="331">
        <f>IF(C184-D183&lt;G181,MAXA(I181,G181+D183-C184),0)</f>
        <v>16</v>
      </c>
      <c r="E185" s="331">
        <f>IF(D184-E183&lt;G181,MAXA(I181,G181+E183-D184),0)</f>
        <v>11</v>
      </c>
      <c r="F185" s="331">
        <f>IF(E184-F183&lt;G181,MAXA(I181,G181+F183-E184),0)</f>
        <v>11</v>
      </c>
      <c r="G185" s="331">
        <f>IF(F184-G183&lt;G181,MAXA(I181,G181+G183-F184),0)</f>
        <v>16</v>
      </c>
      <c r="H185" s="331">
        <f>IF(G184-H183&lt;G181,MAXA(I181,G181+H183-G184),0)</f>
        <v>16</v>
      </c>
      <c r="I185" s="331">
        <f>IF(H184-I183&lt;G181,MAXA(I181,G181+I183-H184),0)</f>
        <v>11</v>
      </c>
      <c r="J185" s="331">
        <f>IF(I184-J183&lt;G181,MAXA(I181,G181+J183-I184),0)</f>
        <v>16</v>
      </c>
      <c r="K185" s="331">
        <f>IF(J184-K183&lt;G181,MAXA(I181,G181+K183-J184),0)</f>
        <v>16</v>
      </c>
      <c r="L185" s="331">
        <f>IF(K184-L183&lt;G181,MAXA(I181,G181+L183-K184),0)</f>
        <v>16</v>
      </c>
      <c r="M185" s="331">
        <f>IF(L184-M183&lt;G181,MAXA(I181,G181+M183-L184),0)</f>
        <v>16</v>
      </c>
      <c r="N185" s="331">
        <f>IF(M184-N183&lt;G181,MAXA(I181,G181+N183-M184),0)</f>
        <v>11</v>
      </c>
    </row>
    <row r="186" spans="1:14" ht="12.75">
      <c r="A186" s="330" t="s">
        <v>83</v>
      </c>
      <c r="B186" s="364">
        <f>ROUND(IF(K181=0,0,(IF(E181=1,SUM(B185:C185),IF(E181=2,SUM(B185:D185),IF(E181=3,SUM(B185:E185),IF(E181=4,SUM(B185:F185),0)))))/K181),0)</f>
        <v>0</v>
      </c>
      <c r="C186" s="331">
        <f>ROUND(IF(K181=0,0,(IF(E181=1,D185,IF(E181=2,E185,IF(E181=3,F185,IF(E181=4,G185,0)))))/K181),0)</f>
        <v>18</v>
      </c>
      <c r="D186" s="331">
        <f>ROUND(IF(K181=0,0,(IF(E181=1,E185,IF(E181=2,F185,IF(E181=3,G185,IF(E181=4,H185,0)))))/K181),0)</f>
        <v>12</v>
      </c>
      <c r="E186" s="331">
        <f>ROUND(IF(K181=0,0,(IF(E181=1,F185,IF(E181=2,G185,IF(E181=3,H185,IF(E181=4,I185,0)))))/K181),0)</f>
        <v>12</v>
      </c>
      <c r="F186" s="331">
        <f>ROUND(IF(K181=0,0,(IF(E181=1,G185,IF(E181=2,H185,IF(E181=3,I185,IF(E181=4,J185,0)))))/K181),0)</f>
        <v>18</v>
      </c>
      <c r="G186" s="331">
        <f>ROUND(IF(K181=0,0,(IF(E181=1,H185,IF(E181=2,I185,IF(E181=3,J185,IF(E181=4,K185,0)))))/K181),0)</f>
        <v>18</v>
      </c>
      <c r="H186" s="331">
        <f>ROUND(IF(K181=0,0,(IF(E181=1,I185,IF(E181=2,J185,IF(E181=3,K185,IF(E181=4,L185,0)))))/K181),0)</f>
        <v>12</v>
      </c>
      <c r="I186" s="331">
        <f>ROUND(IF(K181=0,0,(IF(E181=1,J185,IF(E181=2,K185,IF(E181=3,L185,IF(E181=4,M185,0)))))/K181),0)</f>
        <v>18</v>
      </c>
      <c r="J186" s="331">
        <f>ROUND(IF(K181=0,0,(IF(E181=1,K185,IF(E181=2,L185,IF(E181=3,M185,IF(E181=4,N185,0)))))/K181),0)</f>
        <v>18</v>
      </c>
      <c r="K186" s="331">
        <f>ROUND(IF(K181=0,0,(IF(E181=1,L185,IF(E181=2,M185,IF(E181=3,N185,0))))/K181),0)</f>
        <v>18</v>
      </c>
      <c r="L186" s="331">
        <f>ROUND(IF(K181=0,0,(IF(E181=1,M185,IF(E181=2,N185,0)))/K181),0)</f>
        <v>18</v>
      </c>
      <c r="M186" s="331">
        <f>ROUND(IF(K181=0,0,(IF(E181=1,N185,0))/K181),0)</f>
        <v>12</v>
      </c>
      <c r="N186" s="336"/>
    </row>
    <row r="187" ht="12.75"/>
    <row r="188" spans="2:12" ht="12.75">
      <c r="B188" s="341" t="s">
        <v>43</v>
      </c>
      <c r="C188" s="334">
        <f>'Poliof40 - LIVROB'!$I$941</f>
        <v>22</v>
      </c>
      <c r="D188" s="330" t="s">
        <v>78</v>
      </c>
      <c r="E188" s="444">
        <v>1</v>
      </c>
      <c r="F188" s="330" t="s">
        <v>66</v>
      </c>
      <c r="G188" s="119">
        <v>10</v>
      </c>
      <c r="H188" s="342" t="s">
        <v>67</v>
      </c>
      <c r="I188" s="119">
        <v>1</v>
      </c>
      <c r="J188" s="329" t="s">
        <v>44</v>
      </c>
      <c r="K188" s="335">
        <f>1-'Poliof40 - LIVROB'!$D$555</f>
        <v>0.9</v>
      </c>
      <c r="L188" s="114"/>
    </row>
    <row r="189" spans="1:14" ht="12.75">
      <c r="A189" s="360" t="s">
        <v>84</v>
      </c>
      <c r="B189" s="330" t="s">
        <v>69</v>
      </c>
      <c r="C189" s="330" t="s">
        <v>25</v>
      </c>
      <c r="D189" s="330" t="s">
        <v>26</v>
      </c>
      <c r="E189" s="330" t="s">
        <v>27</v>
      </c>
      <c r="F189" s="330" t="s">
        <v>28</v>
      </c>
      <c r="G189" s="330" t="s">
        <v>47</v>
      </c>
      <c r="H189" s="330" t="s">
        <v>48</v>
      </c>
      <c r="I189" s="330" t="s">
        <v>49</v>
      </c>
      <c r="J189" s="330" t="s">
        <v>50</v>
      </c>
      <c r="K189" s="330" t="s">
        <v>51</v>
      </c>
      <c r="L189" s="330" t="s">
        <v>52</v>
      </c>
      <c r="M189" s="330" t="s">
        <v>53</v>
      </c>
      <c r="N189" s="330" t="s">
        <v>54</v>
      </c>
    </row>
    <row r="190" spans="1:14" ht="12.75">
      <c r="A190" s="330" t="s">
        <v>70</v>
      </c>
      <c r="B190" s="336"/>
      <c r="C190" s="331">
        <f aca="true" t="shared" si="30" ref="C190:N190">2*C92</f>
        <v>10</v>
      </c>
      <c r="D190" s="331">
        <f t="shared" si="30"/>
        <v>10</v>
      </c>
      <c r="E190" s="331">
        <f t="shared" si="30"/>
        <v>10</v>
      </c>
      <c r="F190" s="331">
        <f t="shared" si="30"/>
        <v>10</v>
      </c>
      <c r="G190" s="331">
        <f t="shared" si="30"/>
        <v>12</v>
      </c>
      <c r="H190" s="331">
        <f t="shared" si="30"/>
        <v>12</v>
      </c>
      <c r="I190" s="331">
        <f t="shared" si="30"/>
        <v>12</v>
      </c>
      <c r="J190" s="331">
        <f t="shared" si="30"/>
        <v>16</v>
      </c>
      <c r="K190" s="331">
        <f t="shared" si="30"/>
        <v>16</v>
      </c>
      <c r="L190" s="331">
        <f t="shared" si="30"/>
        <v>16</v>
      </c>
      <c r="M190" s="331">
        <f t="shared" si="30"/>
        <v>16</v>
      </c>
      <c r="N190" s="331">
        <f t="shared" si="30"/>
        <v>16</v>
      </c>
    </row>
    <row r="191" spans="1:14" ht="12.75">
      <c r="A191" s="330" t="s">
        <v>72</v>
      </c>
      <c r="B191" s="331">
        <f>C188+B192</f>
        <v>22</v>
      </c>
      <c r="C191" s="331">
        <f aca="true" t="shared" si="31" ref="C191:N191">B191+C192-C190</f>
        <v>12</v>
      </c>
      <c r="D191" s="331">
        <f t="shared" si="31"/>
        <v>10</v>
      </c>
      <c r="E191" s="331">
        <f t="shared" si="31"/>
        <v>10</v>
      </c>
      <c r="F191" s="331">
        <f t="shared" si="31"/>
        <v>10</v>
      </c>
      <c r="G191" s="331">
        <f t="shared" si="31"/>
        <v>10</v>
      </c>
      <c r="H191" s="331">
        <f t="shared" si="31"/>
        <v>10</v>
      </c>
      <c r="I191" s="331">
        <f t="shared" si="31"/>
        <v>10</v>
      </c>
      <c r="J191" s="331">
        <f t="shared" si="31"/>
        <v>10</v>
      </c>
      <c r="K191" s="331">
        <f t="shared" si="31"/>
        <v>10</v>
      </c>
      <c r="L191" s="331">
        <f t="shared" si="31"/>
        <v>10</v>
      </c>
      <c r="M191" s="331">
        <f t="shared" si="31"/>
        <v>10</v>
      </c>
      <c r="N191" s="331">
        <f t="shared" si="31"/>
        <v>10</v>
      </c>
    </row>
    <row r="192" spans="1:14" ht="12.75">
      <c r="A192" s="330" t="s">
        <v>82</v>
      </c>
      <c r="B192" s="364">
        <f>IF(C188&lt;G188,MAXA(I188,G188-C188),0)</f>
        <v>0</v>
      </c>
      <c r="C192" s="331">
        <f>IF(B191-C190&lt;G188,MAXA(I188,G188+C190-B191),0)</f>
        <v>0</v>
      </c>
      <c r="D192" s="331">
        <f>IF(C191-D190&lt;G188,MAXA(I188,G188+D190-C191),0)</f>
        <v>8</v>
      </c>
      <c r="E192" s="331">
        <f>IF(D191-E190&lt;G188,MAXA(I188,G188+E190-D191),0)</f>
        <v>10</v>
      </c>
      <c r="F192" s="331">
        <f>IF(E191-F190&lt;G188,MAXA(I188,G188+F190-E191),0)</f>
        <v>10</v>
      </c>
      <c r="G192" s="331">
        <f>IF(F191-G190&lt;G188,MAXA(I188,G188+G190-F191),0)</f>
        <v>12</v>
      </c>
      <c r="H192" s="331">
        <f>IF(G191-H190&lt;G188,MAXA(I188,G188+H190-G191),0)</f>
        <v>12</v>
      </c>
      <c r="I192" s="331">
        <f>IF(H191-I190&lt;G188,MAXA(I188,G188+I190-H191),0)</f>
        <v>12</v>
      </c>
      <c r="J192" s="331">
        <f>IF(I191-J190&lt;G188,MAXA(I188,G188+J190-I191),0)</f>
        <v>16</v>
      </c>
      <c r="K192" s="331">
        <f>IF(J191-K190&lt;G188,MAXA(I188,G188+K190-J191),0)</f>
        <v>16</v>
      </c>
      <c r="L192" s="331">
        <f>IF(K191-L190&lt;G188,MAXA(I188,G188+L190-K191),0)</f>
        <v>16</v>
      </c>
      <c r="M192" s="331">
        <f>IF(L191-M190&lt;G188,MAXA(I188,G188+M190-L191),0)</f>
        <v>16</v>
      </c>
      <c r="N192" s="331">
        <f>IF(M191-N190&lt;G188,MAXA(I188,G188+N190-M191),0)</f>
        <v>16</v>
      </c>
    </row>
    <row r="193" spans="1:14" ht="12.75">
      <c r="A193" s="330" t="s">
        <v>83</v>
      </c>
      <c r="B193" s="364">
        <f>ROUND(IF(K188=0,0,(IF(E188=1,SUM(B192:C192),IF(E188=2,SUM(B192:D192),IF(E188=3,SUM(B192:E192),IF(E188=4,SUM(B192:F192),0)))))/K188),0)</f>
        <v>0</v>
      </c>
      <c r="C193" s="331">
        <f>ROUND(IF(K188=0,0,(IF(E188=1,D192,IF(E188=2,E192,IF(E188=3,F192,IF(E188=4,G192,0)))))/K188),0)</f>
        <v>9</v>
      </c>
      <c r="D193" s="331">
        <f>ROUND(IF(K188=0,0,(IF(E188=1,E192,IF(E188=2,F192,IF(E188=3,G192,IF(E188=4,H192,0)))))/K188),0)</f>
        <v>11</v>
      </c>
      <c r="E193" s="331">
        <f>ROUND(IF(K188=0,0,(IF(E188=1,F192,IF(E188=2,G192,IF(E188=3,H192,IF(E188=4,I192,0)))))/K188),0)</f>
        <v>11</v>
      </c>
      <c r="F193" s="331">
        <f>ROUND(IF(K188=0,0,(IF(E188=1,G192,IF(E188=2,H192,IF(E188=3,I192,IF(E188=4,J192,0)))))/K188),0)</f>
        <v>13</v>
      </c>
      <c r="G193" s="331">
        <f>ROUND(IF(K188=0,0,(IF(E188=1,H192,IF(E188=2,I192,IF(E188=3,J192,IF(E188=4,K192,0)))))/K188),0)</f>
        <v>13</v>
      </c>
      <c r="H193" s="331">
        <f>ROUND(IF(K188=0,0,(IF(E188=1,I192,IF(E188=2,J192,IF(E188=3,K192,IF(E188=4,L192,0)))))/K188),0)</f>
        <v>13</v>
      </c>
      <c r="I193" s="331">
        <f>ROUND(IF(K188=0,0,(IF(E188=1,J192,IF(E188=2,K192,IF(E188=3,L192,IF(E188=4,M192,0)))))/K188),0)</f>
        <v>18</v>
      </c>
      <c r="J193" s="331">
        <f>ROUND(IF(K188=0,0,(IF(E188=1,K192,IF(E188=2,L192,IF(E188=3,M192,IF(E188=4,N192,0)))))/K188),0)</f>
        <v>18</v>
      </c>
      <c r="K193" s="331">
        <f>ROUND(IF(K188=0,0,(IF(E188=1,L192,IF(E188=2,M192,IF(E188=3,N192,0))))/K188),0)</f>
        <v>18</v>
      </c>
      <c r="L193" s="331">
        <f>ROUND(IF(K188=0,0,(IF(E188=1,M192,IF(E188=2,N192,0)))/K188),0)</f>
        <v>18</v>
      </c>
      <c r="M193" s="331">
        <f>ROUND(IF(K188=0,0,(IF(E188=1,N192,0))/K188),0)</f>
        <v>18</v>
      </c>
      <c r="N193" s="336"/>
    </row>
    <row r="194" ht="12.75"/>
    <row r="195" spans="2:12" ht="12.75">
      <c r="B195" s="341" t="s">
        <v>43</v>
      </c>
      <c r="C195" s="334">
        <f>'Poliof40 - LIVROB'!$J$941</f>
        <v>37</v>
      </c>
      <c r="D195" s="330" t="s">
        <v>78</v>
      </c>
      <c r="E195" s="444">
        <v>1</v>
      </c>
      <c r="F195" s="330" t="s">
        <v>66</v>
      </c>
      <c r="G195" s="119">
        <v>10</v>
      </c>
      <c r="H195" s="342" t="s">
        <v>67</v>
      </c>
      <c r="I195" s="119">
        <v>1</v>
      </c>
      <c r="J195" s="329" t="s">
        <v>44</v>
      </c>
      <c r="K195" s="335">
        <f>1-'Poliof40 - LIVROB'!$D$556</f>
        <v>0.9</v>
      </c>
      <c r="L195" s="114"/>
    </row>
    <row r="196" spans="1:14" ht="12.75">
      <c r="A196" s="360" t="s">
        <v>85</v>
      </c>
      <c r="B196" s="330" t="s">
        <v>69</v>
      </c>
      <c r="C196" s="330" t="s">
        <v>25</v>
      </c>
      <c r="D196" s="330" t="s">
        <v>26</v>
      </c>
      <c r="E196" s="330" t="s">
        <v>27</v>
      </c>
      <c r="F196" s="330" t="s">
        <v>28</v>
      </c>
      <c r="G196" s="330" t="s">
        <v>47</v>
      </c>
      <c r="H196" s="330" t="s">
        <v>48</v>
      </c>
      <c r="I196" s="330" t="s">
        <v>49</v>
      </c>
      <c r="J196" s="330" t="s">
        <v>50</v>
      </c>
      <c r="K196" s="330" t="s">
        <v>51</v>
      </c>
      <c r="L196" s="330" t="s">
        <v>52</v>
      </c>
      <c r="M196" s="330" t="s">
        <v>53</v>
      </c>
      <c r="N196" s="330" t="s">
        <v>54</v>
      </c>
    </row>
    <row r="197" spans="1:14" ht="12.75">
      <c r="A197" s="330" t="s">
        <v>70</v>
      </c>
      <c r="B197" s="336"/>
      <c r="C197" s="331">
        <f aca="true" t="shared" si="32" ref="C197:N197">C99</f>
        <v>22</v>
      </c>
      <c r="D197" s="331">
        <f t="shared" si="32"/>
        <v>20</v>
      </c>
      <c r="E197" s="331">
        <f t="shared" si="32"/>
        <v>11</v>
      </c>
      <c r="F197" s="331">
        <f t="shared" si="32"/>
        <v>5</v>
      </c>
      <c r="G197" s="331">
        <f t="shared" si="32"/>
        <v>27</v>
      </c>
      <c r="H197" s="331">
        <f t="shared" si="32"/>
        <v>17</v>
      </c>
      <c r="I197" s="331">
        <f t="shared" si="32"/>
        <v>12</v>
      </c>
      <c r="J197" s="331">
        <f t="shared" si="32"/>
        <v>5</v>
      </c>
      <c r="K197" s="331">
        <f t="shared" si="32"/>
        <v>29</v>
      </c>
      <c r="L197" s="331">
        <f t="shared" si="32"/>
        <v>18</v>
      </c>
      <c r="M197" s="331">
        <f t="shared" si="32"/>
        <v>13</v>
      </c>
      <c r="N197" s="331">
        <f t="shared" si="32"/>
        <v>6</v>
      </c>
    </row>
    <row r="198" spans="1:14" ht="12.75">
      <c r="A198" s="330" t="s">
        <v>72</v>
      </c>
      <c r="B198" s="331">
        <f>C195+B199</f>
        <v>37</v>
      </c>
      <c r="C198" s="331">
        <f aca="true" t="shared" si="33" ref="C198:N198">B198+C199-C197</f>
        <v>15</v>
      </c>
      <c r="D198" s="331">
        <f t="shared" si="33"/>
        <v>10</v>
      </c>
      <c r="E198" s="331">
        <f t="shared" si="33"/>
        <v>10</v>
      </c>
      <c r="F198" s="331">
        <f t="shared" si="33"/>
        <v>10</v>
      </c>
      <c r="G198" s="331">
        <f t="shared" si="33"/>
        <v>10</v>
      </c>
      <c r="H198" s="331">
        <f t="shared" si="33"/>
        <v>10</v>
      </c>
      <c r="I198" s="331">
        <f t="shared" si="33"/>
        <v>10</v>
      </c>
      <c r="J198" s="331">
        <f t="shared" si="33"/>
        <v>10</v>
      </c>
      <c r="K198" s="331">
        <f t="shared" si="33"/>
        <v>10</v>
      </c>
      <c r="L198" s="331">
        <f t="shared" si="33"/>
        <v>10</v>
      </c>
      <c r="M198" s="331">
        <f t="shared" si="33"/>
        <v>10</v>
      </c>
      <c r="N198" s="331">
        <f t="shared" si="33"/>
        <v>10</v>
      </c>
    </row>
    <row r="199" spans="1:14" ht="12.75">
      <c r="A199" s="330" t="s">
        <v>82</v>
      </c>
      <c r="B199" s="364">
        <f>IF(C195&lt;G195,MAXA(I195,G195-C195),0)</f>
        <v>0</v>
      </c>
      <c r="C199" s="331">
        <f>IF(B198-C197&lt;G195,MAXA(I195,G195+C197-B198),0)</f>
        <v>0</v>
      </c>
      <c r="D199" s="331">
        <f>IF(C198-D197&lt;G195,MAXA(I195,G195+D197-C198),0)</f>
        <v>15</v>
      </c>
      <c r="E199" s="331">
        <f>IF(D198-E197&lt;G195,MAXA(I195,G195+E197-D198),0)</f>
        <v>11</v>
      </c>
      <c r="F199" s="331">
        <f>IF(E198-F197&lt;G195,MAXA(I195,G195+F197-E198),0)</f>
        <v>5</v>
      </c>
      <c r="G199" s="331">
        <f>IF(F198-G197&lt;G195,MAXA(I195,G195+G197-F198),0)</f>
        <v>27</v>
      </c>
      <c r="H199" s="331">
        <f>IF(G198-H197&lt;G195,MAXA(I195,G195+H197-G198),0)</f>
        <v>17</v>
      </c>
      <c r="I199" s="331">
        <f>IF(H198-I197&lt;G195,MAXA(I195,G195+I197-H198),0)</f>
        <v>12</v>
      </c>
      <c r="J199" s="331">
        <f>IF(I198-J197&lt;G195,MAXA(I195,G195+J197-I198),0)</f>
        <v>5</v>
      </c>
      <c r="K199" s="331">
        <f>IF(J198-K197&lt;G195,MAXA(I195,G195+K197-J198),0)</f>
        <v>29</v>
      </c>
      <c r="L199" s="331">
        <f>IF(K198-L197&lt;G195,MAXA(I195,G195+L197-K198),0)</f>
        <v>18</v>
      </c>
      <c r="M199" s="331">
        <f>IF(L198-M197&lt;G195,MAXA(I195,G195+M197-L198),0)</f>
        <v>13</v>
      </c>
      <c r="N199" s="331">
        <f>IF(M198-N197&lt;G195,MAXA(I195,G195+N197-M198),0)</f>
        <v>6</v>
      </c>
    </row>
    <row r="200" spans="1:14" ht="12.75">
      <c r="A200" s="330" t="s">
        <v>83</v>
      </c>
      <c r="B200" s="364">
        <f>ROUND(IF(K195=0,0,(IF(E195=1,SUM(B199:C199),IF(E195=2,SUM(B199:D199),IF(E195=3,SUM(B199:E199),IF(E195=4,SUM(B199:F199),0)))))/K195),0)</f>
        <v>0</v>
      </c>
      <c r="C200" s="331">
        <f>ROUND(IF(K195=0,0,(IF(E195=1,D199,IF(E195=2,E199,IF(E195=3,F199,IF(E195=4,G199,0)))))/K195),0)</f>
        <v>17</v>
      </c>
      <c r="D200" s="331">
        <f>ROUND(IF(K195=0,0,(IF(E195=1,E199,IF(E195=2,F199,IF(E195=3,G199,IF(E195=4,H199,0)))))/K195),0)</f>
        <v>12</v>
      </c>
      <c r="E200" s="331">
        <f>ROUND(IF(K195=0,0,(IF(E195=1,F199,IF(E195=2,G199,IF(E195=3,H199,IF(E195=4,I199,0)))))/K195),0)</f>
        <v>6</v>
      </c>
      <c r="F200" s="331">
        <f>ROUND(IF(K195=0,0,(IF(E195=1,G199,IF(E195=2,H199,IF(E195=3,I199,IF(E195=4,J199,0)))))/K195),0)</f>
        <v>30</v>
      </c>
      <c r="G200" s="331">
        <f>ROUND(IF(K195=0,0,(IF(E195=1,H199,IF(E195=2,I199,IF(E195=3,J199,IF(E195=4,K199,0)))))/K195),0)</f>
        <v>19</v>
      </c>
      <c r="H200" s="331">
        <f>ROUND(IF(K195=0,0,(IF(E195=1,I199,IF(E195=2,J199,IF(E195=3,K199,IF(E195=4,L199,0)))))/K195),0)</f>
        <v>13</v>
      </c>
      <c r="I200" s="331">
        <f>ROUND(IF(K195=0,0,(IF(E195=1,J199,IF(E195=2,K199,IF(E195=3,L199,IF(E195=4,M199,0)))))/K195),0)</f>
        <v>6</v>
      </c>
      <c r="J200" s="331">
        <f>ROUND(IF(K195=0,0,(IF(E195=1,K199,IF(E195=2,L199,IF(E195=3,M199,IF(E195=4,N199,0)))))/K195),0)</f>
        <v>32</v>
      </c>
      <c r="K200" s="331">
        <f>ROUND(IF(K195=0,0,(IF(E195=1,L199,IF(E195=2,M199,IF(E195=3,N199,0))))/K195),0)</f>
        <v>20</v>
      </c>
      <c r="L200" s="331">
        <f>ROUND(IF(K195=0,0,(IF(E195=1,M199,IF(E195=2,N199,0)))/K195),0)</f>
        <v>14</v>
      </c>
      <c r="M200" s="331">
        <f>ROUND(IF(K195=0,0,(IF(E195=1,N199,0))/K195),0)</f>
        <v>7</v>
      </c>
      <c r="N200" s="336"/>
    </row>
    <row r="201" ht="12.75"/>
    <row r="202" spans="2:13" ht="12.75">
      <c r="B202" s="341" t="s">
        <v>43</v>
      </c>
      <c r="C202" s="334">
        <f>'Poliof40 - LIVROB'!$K$941</f>
        <v>35</v>
      </c>
      <c r="D202" s="330" t="s">
        <v>78</v>
      </c>
      <c r="E202" s="444">
        <v>1</v>
      </c>
      <c r="F202" s="330" t="s">
        <v>66</v>
      </c>
      <c r="G202" s="119">
        <v>15</v>
      </c>
      <c r="H202" s="342" t="s">
        <v>67</v>
      </c>
      <c r="I202" s="119">
        <v>1</v>
      </c>
      <c r="J202" s="329" t="s">
        <v>44</v>
      </c>
      <c r="K202" s="335">
        <f>1-'Poliof40 - LIVROB'!$D$557</f>
        <v>0.9</v>
      </c>
      <c r="L202" s="114"/>
      <c r="M202" s="108" t="s">
        <v>0</v>
      </c>
    </row>
    <row r="203" spans="1:14" ht="12.75">
      <c r="A203" s="360" t="s">
        <v>86</v>
      </c>
      <c r="B203" s="330" t="s">
        <v>69</v>
      </c>
      <c r="C203" s="330" t="s">
        <v>25</v>
      </c>
      <c r="D203" s="330" t="s">
        <v>26</v>
      </c>
      <c r="E203" s="330" t="s">
        <v>27</v>
      </c>
      <c r="F203" s="330" t="s">
        <v>28</v>
      </c>
      <c r="G203" s="330" t="s">
        <v>47</v>
      </c>
      <c r="H203" s="330" t="s">
        <v>48</v>
      </c>
      <c r="I203" s="330" t="s">
        <v>49</v>
      </c>
      <c r="J203" s="330" t="s">
        <v>50</v>
      </c>
      <c r="K203" s="330" t="s">
        <v>51</v>
      </c>
      <c r="L203" s="330" t="s">
        <v>52</v>
      </c>
      <c r="M203" s="330" t="s">
        <v>53</v>
      </c>
      <c r="N203" s="330" t="s">
        <v>54</v>
      </c>
    </row>
    <row r="204" spans="1:14" ht="12.75">
      <c r="A204" s="330" t="s">
        <v>70</v>
      </c>
      <c r="B204" s="336"/>
      <c r="C204" s="331">
        <f aca="true" t="shared" si="34" ref="C204:N204">2*C106</f>
        <v>20</v>
      </c>
      <c r="D204" s="331">
        <f t="shared" si="34"/>
        <v>20</v>
      </c>
      <c r="E204" s="331">
        <f t="shared" si="34"/>
        <v>20</v>
      </c>
      <c r="F204" s="331">
        <f t="shared" si="34"/>
        <v>20</v>
      </c>
      <c r="G204" s="331">
        <f t="shared" si="34"/>
        <v>20</v>
      </c>
      <c r="H204" s="331">
        <f t="shared" si="34"/>
        <v>22</v>
      </c>
      <c r="I204" s="331">
        <f t="shared" si="34"/>
        <v>36</v>
      </c>
      <c r="J204" s="331">
        <f t="shared" si="34"/>
        <v>36</v>
      </c>
      <c r="K204" s="331">
        <f t="shared" si="34"/>
        <v>36</v>
      </c>
      <c r="L204" s="331">
        <f t="shared" si="34"/>
        <v>36</v>
      </c>
      <c r="M204" s="331">
        <f t="shared" si="34"/>
        <v>36</v>
      </c>
      <c r="N204" s="331">
        <f t="shared" si="34"/>
        <v>36</v>
      </c>
    </row>
    <row r="205" spans="1:14" ht="12.75">
      <c r="A205" s="330" t="s">
        <v>72</v>
      </c>
      <c r="B205" s="331">
        <f>C202+B206</f>
        <v>35</v>
      </c>
      <c r="C205" s="331">
        <f aca="true" t="shared" si="35" ref="C205:N205">B205+C206-C204</f>
        <v>15</v>
      </c>
      <c r="D205" s="331">
        <f t="shared" si="35"/>
        <v>15</v>
      </c>
      <c r="E205" s="331">
        <f t="shared" si="35"/>
        <v>15</v>
      </c>
      <c r="F205" s="331">
        <f t="shared" si="35"/>
        <v>15</v>
      </c>
      <c r="G205" s="331">
        <f t="shared" si="35"/>
        <v>15</v>
      </c>
      <c r="H205" s="331">
        <f t="shared" si="35"/>
        <v>15</v>
      </c>
      <c r="I205" s="331">
        <f t="shared" si="35"/>
        <v>15</v>
      </c>
      <c r="J205" s="331">
        <f t="shared" si="35"/>
        <v>15</v>
      </c>
      <c r="K205" s="331">
        <f t="shared" si="35"/>
        <v>15</v>
      </c>
      <c r="L205" s="331">
        <f t="shared" si="35"/>
        <v>15</v>
      </c>
      <c r="M205" s="331">
        <f t="shared" si="35"/>
        <v>15</v>
      </c>
      <c r="N205" s="331">
        <f t="shared" si="35"/>
        <v>15</v>
      </c>
    </row>
    <row r="206" spans="1:14" ht="12.75">
      <c r="A206" s="330" t="s">
        <v>82</v>
      </c>
      <c r="B206" s="364">
        <f>IF(C202&lt;G202,MAXA(I202,G202-C202),0)</f>
        <v>0</v>
      </c>
      <c r="C206" s="331">
        <f>IF(B205-C204&lt;G202,MAXA(I202,G202+C204-B205),0)</f>
        <v>0</v>
      </c>
      <c r="D206" s="331">
        <f>IF(C205-D204&lt;G202,MAXA(I202,G202+D204-C205),0)</f>
        <v>20</v>
      </c>
      <c r="E206" s="331">
        <f>IF(D205-E204&lt;G202,MAXA(I202,G202+E204-D205),0)</f>
        <v>20</v>
      </c>
      <c r="F206" s="331">
        <f>IF(E205-F204&lt;G202,MAXA(I202,G202+F204-E205),0)</f>
        <v>20</v>
      </c>
      <c r="G206" s="331">
        <f>IF(F205-G204&lt;G202,MAXA(I202,G202+G204-F205),0)</f>
        <v>20</v>
      </c>
      <c r="H206" s="331">
        <f>IF(G205-H204&lt;G202,MAXA(I202,G202+H204-G205),0)</f>
        <v>22</v>
      </c>
      <c r="I206" s="331">
        <f>IF(H205-I204&lt;G202,MAXA(I202,G202+I204-H205),0)</f>
        <v>36</v>
      </c>
      <c r="J206" s="331">
        <f>IF(I205-J204&lt;G202,MAXA(I202,G202+J204-I205),0)</f>
        <v>36</v>
      </c>
      <c r="K206" s="331">
        <f>IF(J205-K204&lt;G202,MAXA(I202,G202+K204-J205),0)</f>
        <v>36</v>
      </c>
      <c r="L206" s="331">
        <f>IF(K205-L204&lt;G202,MAXA(I202,G202+L204-K205),0)</f>
        <v>36</v>
      </c>
      <c r="M206" s="331">
        <f>IF(L205-M204&lt;G202,MAXA(I202,G202+M204-L205),0)</f>
        <v>36</v>
      </c>
      <c r="N206" s="331">
        <f>IF(M205-N204&lt;G202,MAXA(I202,G202+N204-M205),0)</f>
        <v>36</v>
      </c>
    </row>
    <row r="207" spans="1:14" ht="12.75">
      <c r="A207" s="330" t="s">
        <v>83</v>
      </c>
      <c r="B207" s="364">
        <f>ROUND(IF(K202=0,0,(IF(E202=1,SUM(B206:C206),IF(E202=2,SUM(B206:D206),IF(E202=3,SUM(B206:E206),IF(E202=4,SUM(B206:F206),0)))))/K202),0)</f>
        <v>0</v>
      </c>
      <c r="C207" s="331">
        <f aca="true" t="shared" si="36" ref="C207:J207">ROUND(IF($K202=0,0,(IF($E202=1,D206,IF($E202=2,E206,IF($E202=3,F206,IF($E202=4,G206,0)))))/$K202),0)</f>
        <v>22</v>
      </c>
      <c r="D207" s="331">
        <f t="shared" si="36"/>
        <v>22</v>
      </c>
      <c r="E207" s="331">
        <f t="shared" si="36"/>
        <v>22</v>
      </c>
      <c r="F207" s="331">
        <f t="shared" si="36"/>
        <v>22</v>
      </c>
      <c r="G207" s="331">
        <f t="shared" si="36"/>
        <v>24</v>
      </c>
      <c r="H207" s="331">
        <f t="shared" si="36"/>
        <v>40</v>
      </c>
      <c r="I207" s="331">
        <f t="shared" si="36"/>
        <v>40</v>
      </c>
      <c r="J207" s="331">
        <f t="shared" si="36"/>
        <v>40</v>
      </c>
      <c r="K207" s="331">
        <f>IF($K202=0,0,IF($E202=1,L206/$K202,IF($E202=2,M206/$K202,IF($E202=3,N206/$K202,0))))</f>
        <v>40</v>
      </c>
      <c r="L207" s="331">
        <f>IF($K202=0,0,IF($E202=1,M206/$K202,IF($E202=2,N206/$K202,0)))</f>
        <v>40</v>
      </c>
      <c r="M207" s="331">
        <f>IF($K202=0,0,IF($E202=1,N206/$K202,0))</f>
        <v>40</v>
      </c>
      <c r="N207" s="336"/>
    </row>
    <row r="208" ht="12.75"/>
    <row r="209" spans="2:12" ht="12.75">
      <c r="B209" s="341" t="s">
        <v>43</v>
      </c>
      <c r="C209" s="334">
        <f>'Poliof40 - LIVROB'!$L$941</f>
        <v>31</v>
      </c>
      <c r="D209" s="330" t="s">
        <v>78</v>
      </c>
      <c r="E209" s="444">
        <v>1</v>
      </c>
      <c r="F209" s="330" t="s">
        <v>66</v>
      </c>
      <c r="G209" s="119">
        <v>10</v>
      </c>
      <c r="H209" s="342" t="s">
        <v>67</v>
      </c>
      <c r="I209" s="119">
        <v>1</v>
      </c>
      <c r="J209" s="329" t="s">
        <v>44</v>
      </c>
      <c r="K209" s="335">
        <f>1-'Poliof40 - LIVROB'!$D$558</f>
        <v>0.9</v>
      </c>
      <c r="L209" s="114"/>
    </row>
    <row r="210" spans="1:14" ht="12.75">
      <c r="A210" s="360" t="s">
        <v>87</v>
      </c>
      <c r="B210" s="330" t="s">
        <v>69</v>
      </c>
      <c r="C210" s="330" t="s">
        <v>25</v>
      </c>
      <c r="D210" s="330" t="s">
        <v>26</v>
      </c>
      <c r="E210" s="330" t="s">
        <v>27</v>
      </c>
      <c r="F210" s="330" t="s">
        <v>28</v>
      </c>
      <c r="G210" s="330" t="s">
        <v>47</v>
      </c>
      <c r="H210" s="330" t="s">
        <v>48</v>
      </c>
      <c r="I210" s="330" t="s">
        <v>49</v>
      </c>
      <c r="J210" s="330" t="s">
        <v>50</v>
      </c>
      <c r="K210" s="330" t="s">
        <v>51</v>
      </c>
      <c r="L210" s="330" t="s">
        <v>52</v>
      </c>
      <c r="M210" s="330" t="s">
        <v>53</v>
      </c>
      <c r="N210" s="330" t="s">
        <v>54</v>
      </c>
    </row>
    <row r="211" spans="1:14" ht="12.75">
      <c r="A211" s="330" t="s">
        <v>70</v>
      </c>
      <c r="B211" s="336"/>
      <c r="C211" s="331">
        <f aca="true" t="shared" si="37" ref="C211:N211">C113</f>
        <v>16</v>
      </c>
      <c r="D211" s="331">
        <f t="shared" si="37"/>
        <v>16</v>
      </c>
      <c r="E211" s="331">
        <f t="shared" si="37"/>
        <v>16</v>
      </c>
      <c r="F211" s="331">
        <f t="shared" si="37"/>
        <v>16</v>
      </c>
      <c r="G211" s="331">
        <f t="shared" si="37"/>
        <v>22</v>
      </c>
      <c r="H211" s="331">
        <f t="shared" si="37"/>
        <v>22</v>
      </c>
      <c r="I211" s="331">
        <f t="shared" si="37"/>
        <v>22</v>
      </c>
      <c r="J211" s="331">
        <f t="shared" si="37"/>
        <v>22</v>
      </c>
      <c r="K211" s="331">
        <f t="shared" si="37"/>
        <v>22</v>
      </c>
      <c r="L211" s="331">
        <f t="shared" si="37"/>
        <v>22</v>
      </c>
      <c r="M211" s="331">
        <f t="shared" si="37"/>
        <v>22</v>
      </c>
      <c r="N211" s="331">
        <f t="shared" si="37"/>
        <v>22</v>
      </c>
    </row>
    <row r="212" spans="1:14" ht="12.75">
      <c r="A212" s="330" t="s">
        <v>72</v>
      </c>
      <c r="B212" s="331">
        <f>C209+B213</f>
        <v>31</v>
      </c>
      <c r="C212" s="331">
        <f aca="true" t="shared" si="38" ref="C212:N212">B212+C213-C211</f>
        <v>15</v>
      </c>
      <c r="D212" s="331">
        <f t="shared" si="38"/>
        <v>10</v>
      </c>
      <c r="E212" s="331">
        <f t="shared" si="38"/>
        <v>10</v>
      </c>
      <c r="F212" s="331">
        <f t="shared" si="38"/>
        <v>10</v>
      </c>
      <c r="G212" s="331">
        <f t="shared" si="38"/>
        <v>10</v>
      </c>
      <c r="H212" s="331">
        <f t="shared" si="38"/>
        <v>10</v>
      </c>
      <c r="I212" s="331">
        <f t="shared" si="38"/>
        <v>10</v>
      </c>
      <c r="J212" s="331">
        <f t="shared" si="38"/>
        <v>10</v>
      </c>
      <c r="K212" s="331">
        <f t="shared" si="38"/>
        <v>10</v>
      </c>
      <c r="L212" s="331">
        <f t="shared" si="38"/>
        <v>10</v>
      </c>
      <c r="M212" s="331">
        <f t="shared" si="38"/>
        <v>10</v>
      </c>
      <c r="N212" s="331">
        <f t="shared" si="38"/>
        <v>10</v>
      </c>
    </row>
    <row r="213" spans="1:14" ht="12.75">
      <c r="A213" s="330" t="s">
        <v>82</v>
      </c>
      <c r="B213" s="364">
        <f>IF(C209&lt;G209,MAXA(I209,G209-C209),0)</f>
        <v>0</v>
      </c>
      <c r="C213" s="331">
        <f>IF(B212-C211&lt;G209,MAXA(I209,G209+C211-B212),0)</f>
        <v>0</v>
      </c>
      <c r="D213" s="331">
        <f>IF(C212-D211&lt;G209,MAXA(I209,G209+D211-C212),0)</f>
        <v>11</v>
      </c>
      <c r="E213" s="331">
        <f>IF(D212-E211&lt;G209,MAXA(I209,G209+E211-D212),0)</f>
        <v>16</v>
      </c>
      <c r="F213" s="331">
        <f>IF(E212-F211&lt;G209,MAXA(I209,G209+F211-E212),0)</f>
        <v>16</v>
      </c>
      <c r="G213" s="331">
        <f>IF(F212-G211&lt;G209,MAXA(I209,G209+G211-F212),0)</f>
        <v>22</v>
      </c>
      <c r="H213" s="331">
        <f>IF(G212-H211&lt;G209,MAXA(I209,G209+H211-G212),0)</f>
        <v>22</v>
      </c>
      <c r="I213" s="331">
        <f>IF(H212-I211&lt;G209,MAXA(I209,G209+I211-H212),0)</f>
        <v>22</v>
      </c>
      <c r="J213" s="331">
        <f>IF(I212-J211&lt;G209,MAXA(I209,G209+J211-I212),0)</f>
        <v>22</v>
      </c>
      <c r="K213" s="331">
        <f>IF(J212-K211&lt;G209,MAXA(I209,G209+K211-J212),0)</f>
        <v>22</v>
      </c>
      <c r="L213" s="331">
        <f>IF(K212-L211&lt;G209,MAXA(I209,G209+L211-K212),0)</f>
        <v>22</v>
      </c>
      <c r="M213" s="331">
        <f>IF(L212-M211&lt;G209,MAXA(I209,G209+M211-L212),0)</f>
        <v>22</v>
      </c>
      <c r="N213" s="331">
        <f>IF(M212-N211&lt;G209,MAXA(I209,G209+N211-M212),0)</f>
        <v>22</v>
      </c>
    </row>
    <row r="214" spans="1:14" ht="12.75">
      <c r="A214" s="330" t="s">
        <v>83</v>
      </c>
      <c r="B214" s="364">
        <f>ROUND(IF(K209=0,0,(IF(E209=1,SUM(B213:C213),IF(E209=2,SUM(B213:D213),IF(E209=3,SUM(B213:E213),IF(E209=4,SUM(B213:F213),0)))))/K209),0)</f>
        <v>0</v>
      </c>
      <c r="C214" s="331">
        <f aca="true" t="shared" si="39" ref="C214:J214">ROUND(IF($K209=0,0,(IF($E209=1,D213,IF($E209=2,E213,IF($E209=3,F213,IF($E209=4,G213,0)))))/$K209),0)</f>
        <v>12</v>
      </c>
      <c r="D214" s="331">
        <f t="shared" si="39"/>
        <v>18</v>
      </c>
      <c r="E214" s="331">
        <f t="shared" si="39"/>
        <v>18</v>
      </c>
      <c r="F214" s="331">
        <f t="shared" si="39"/>
        <v>24</v>
      </c>
      <c r="G214" s="331">
        <f t="shared" si="39"/>
        <v>24</v>
      </c>
      <c r="H214" s="331">
        <f t="shared" si="39"/>
        <v>24</v>
      </c>
      <c r="I214" s="331">
        <f t="shared" si="39"/>
        <v>24</v>
      </c>
      <c r="J214" s="331">
        <f t="shared" si="39"/>
        <v>24</v>
      </c>
      <c r="K214" s="331">
        <f>ROUND(IF($K209=0,0,IF($E209=1,L213,IF($E209=2,M213,IF($E209=3,N213,0))))/$K209,0)</f>
        <v>24</v>
      </c>
      <c r="L214" s="331">
        <f>ROUND(IF($K209=0,0,IF($E209=1,M213,IF($E209=2,N213,0)))/$K209,0)</f>
        <v>24</v>
      </c>
      <c r="M214" s="331">
        <f>ROUND(IF($K209=0,0,IF($E209=1,N213,0))/$K209,0)</f>
        <v>24</v>
      </c>
      <c r="N214" s="336"/>
    </row>
    <row r="215" ht="12.75"/>
    <row r="216" spans="2:12" ht="12.75">
      <c r="B216" s="341" t="s">
        <v>43</v>
      </c>
      <c r="C216" s="334">
        <f>'Poliof40 - LIVROB'!$O$941</f>
        <v>16</v>
      </c>
      <c r="D216" s="330" t="s">
        <v>65</v>
      </c>
      <c r="E216" s="334">
        <f>'Poliof40 - LIVROB'!$E$575</f>
        <v>1</v>
      </c>
      <c r="F216" s="330" t="s">
        <v>88</v>
      </c>
      <c r="G216" s="119">
        <v>20</v>
      </c>
      <c r="H216" s="342" t="s">
        <v>67</v>
      </c>
      <c r="I216" s="119">
        <v>1</v>
      </c>
      <c r="J216" s="329" t="s">
        <v>44</v>
      </c>
      <c r="K216" s="335">
        <f>1-'Poliof40 - LIVROB'!$D$575</f>
        <v>0.99</v>
      </c>
      <c r="L216" s="114"/>
    </row>
    <row r="217" spans="1:14" ht="12.75">
      <c r="A217" s="360" t="s">
        <v>89</v>
      </c>
      <c r="B217" s="330" t="s">
        <v>69</v>
      </c>
      <c r="C217" s="330" t="s">
        <v>25</v>
      </c>
      <c r="D217" s="330" t="s">
        <v>26</v>
      </c>
      <c r="E217" s="330" t="s">
        <v>27</v>
      </c>
      <c r="F217" s="330" t="s">
        <v>28</v>
      </c>
      <c r="G217" s="330" t="s">
        <v>47</v>
      </c>
      <c r="H217" s="330" t="s">
        <v>48</v>
      </c>
      <c r="I217" s="330" t="s">
        <v>49</v>
      </c>
      <c r="J217" s="330" t="s">
        <v>50</v>
      </c>
      <c r="K217" s="330" t="s">
        <v>51</v>
      </c>
      <c r="L217" s="330" t="s">
        <v>52</v>
      </c>
      <c r="M217" s="330" t="s">
        <v>53</v>
      </c>
      <c r="N217" s="330" t="s">
        <v>54</v>
      </c>
    </row>
    <row r="218" spans="1:14" ht="12.75">
      <c r="A218" s="330" t="s">
        <v>70</v>
      </c>
      <c r="B218" s="331">
        <f aca="true" t="shared" si="40" ref="B218:N218">B171</f>
        <v>0</v>
      </c>
      <c r="C218" s="331">
        <f t="shared" si="40"/>
        <v>23</v>
      </c>
      <c r="D218" s="331">
        <f t="shared" si="40"/>
        <v>22</v>
      </c>
      <c r="E218" s="331">
        <f t="shared" si="40"/>
        <v>22</v>
      </c>
      <c r="F218" s="331">
        <f t="shared" si="40"/>
        <v>29</v>
      </c>
      <c r="G218" s="331">
        <f t="shared" si="40"/>
        <v>29</v>
      </c>
      <c r="H218" s="331">
        <f t="shared" si="40"/>
        <v>24</v>
      </c>
      <c r="I218" s="331">
        <f t="shared" si="40"/>
        <v>34</v>
      </c>
      <c r="J218" s="331">
        <f t="shared" si="40"/>
        <v>34</v>
      </c>
      <c r="K218" s="331">
        <f t="shared" si="40"/>
        <v>34</v>
      </c>
      <c r="L218" s="331">
        <f t="shared" si="40"/>
        <v>34</v>
      </c>
      <c r="M218" s="331">
        <f t="shared" si="40"/>
        <v>28</v>
      </c>
      <c r="N218" s="331">
        <f t="shared" si="40"/>
        <v>0</v>
      </c>
    </row>
    <row r="219" spans="1:14" ht="12.75">
      <c r="A219" s="330" t="s">
        <v>71</v>
      </c>
      <c r="B219" s="336"/>
      <c r="C219" s="331">
        <f>'Poliof40 - LIVROB'!$B$947</f>
        <v>29</v>
      </c>
      <c r="D219" s="331">
        <f>'Poliof40 - LIVROB'!$C$947</f>
        <v>0</v>
      </c>
      <c r="E219" s="331">
        <f>'Poliof40 - LIVROB'!$D$947</f>
        <v>0</v>
      </c>
      <c r="F219" s="331">
        <f>'Poliof40 - LIVROB'!$E$947</f>
        <v>0</v>
      </c>
      <c r="G219" s="331">
        <f>'Poliof40 - LIVROB'!$F$947</f>
        <v>0</v>
      </c>
      <c r="H219" s="331">
        <f>'Poliof40 - LIVROB'!$G$947</f>
        <v>0</v>
      </c>
      <c r="I219" s="331">
        <f>'Poliof40 - LIVROB'!$H$947</f>
        <v>0</v>
      </c>
      <c r="J219" s="331">
        <f>'Poliof40 - LIVROB'!$I$947</f>
        <v>0</v>
      </c>
      <c r="K219" s="336">
        <v>0</v>
      </c>
      <c r="L219" s="336">
        <v>0</v>
      </c>
      <c r="M219" s="336">
        <v>0</v>
      </c>
      <c r="N219" s="336">
        <v>0</v>
      </c>
    </row>
    <row r="220" spans="1:14" ht="12.75">
      <c r="A220" s="330" t="s">
        <v>72</v>
      </c>
      <c r="B220" s="331">
        <f>C216+B219+B221-B218</f>
        <v>20</v>
      </c>
      <c r="C220" s="331">
        <f aca="true" t="shared" si="41" ref="C220:N220">B220+C221-C218+C219</f>
        <v>26</v>
      </c>
      <c r="D220" s="331">
        <f t="shared" si="41"/>
        <v>20</v>
      </c>
      <c r="E220" s="331">
        <f t="shared" si="41"/>
        <v>20</v>
      </c>
      <c r="F220" s="331">
        <f t="shared" si="41"/>
        <v>20</v>
      </c>
      <c r="G220" s="331">
        <f t="shared" si="41"/>
        <v>20</v>
      </c>
      <c r="H220" s="331">
        <f t="shared" si="41"/>
        <v>20</v>
      </c>
      <c r="I220" s="331">
        <f t="shared" si="41"/>
        <v>20</v>
      </c>
      <c r="J220" s="331">
        <f t="shared" si="41"/>
        <v>20</v>
      </c>
      <c r="K220" s="331">
        <f t="shared" si="41"/>
        <v>20</v>
      </c>
      <c r="L220" s="331">
        <f t="shared" si="41"/>
        <v>20</v>
      </c>
      <c r="M220" s="331">
        <f t="shared" si="41"/>
        <v>20</v>
      </c>
      <c r="N220" s="331">
        <f t="shared" si="41"/>
        <v>20</v>
      </c>
    </row>
    <row r="221" spans="1:14" ht="12.75">
      <c r="A221" s="330" t="s">
        <v>73</v>
      </c>
      <c r="B221" s="364">
        <f>IF(C216+B219-B218&lt;G216,MAXA(I216,G216+B218-C216-B219),0)</f>
        <v>4</v>
      </c>
      <c r="C221" s="331">
        <f>IF(B220+C219-C218&lt;G216,MAXA(I216,G216+C218-C219-B220),0)</f>
        <v>0</v>
      </c>
      <c r="D221" s="331">
        <f>IF(C220+D219-D218&lt;G216,MAXA(I216,G216+D218-D219-C220),0)</f>
        <v>16</v>
      </c>
      <c r="E221" s="331">
        <f>IF(D220+E219-E218&lt;G216,MAXA(I216,G216+E218-E219-D220),0)</f>
        <v>22</v>
      </c>
      <c r="F221" s="331">
        <f>IF(E220+F219-F218&lt;G216,MAXA(I216,G216+F218-F219-E220),0)</f>
        <v>29</v>
      </c>
      <c r="G221" s="331">
        <f>IF(F220+G219-G218&lt;G216,MAXA(I216,G216+G218-G219-F220),0)</f>
        <v>29</v>
      </c>
      <c r="H221" s="331">
        <f>IF(G220+H219-H218&lt;G216,MAXA(I216,G216+H218-H219-G220),0)</f>
        <v>24</v>
      </c>
      <c r="I221" s="331">
        <f>IF(H220+I219-I218&lt;G216,MAXA(I216,G216+I218-I219-H220),0)</f>
        <v>34</v>
      </c>
      <c r="J221" s="331">
        <f>IF(I220+J219-J218&lt;G216,MAXA(I216,G216+J218-J219-I220),0)</f>
        <v>34</v>
      </c>
      <c r="K221" s="331">
        <f>IF(J220+K219-K218&lt;G216,MAXA(I216,G216+K218-K219-J220),0)</f>
        <v>34</v>
      </c>
      <c r="L221" s="331">
        <f>IF(K220+L219-L218&lt;G216,MAXA(I216,G216+L218-L219-K220),0)</f>
        <v>34</v>
      </c>
      <c r="M221" s="331">
        <f>IF(L220+M219-M218&lt;G216,MAXA(I216,G216+M218-M219-L220),0)</f>
        <v>28</v>
      </c>
      <c r="N221" s="331">
        <f>IF(M220+N219-N218&lt;G216,MAXA(I216,G216+N218-N219-M220),0)</f>
        <v>0</v>
      </c>
    </row>
    <row r="222" spans="1:14" ht="12.75">
      <c r="A222" s="330" t="s">
        <v>74</v>
      </c>
      <c r="B222" s="364">
        <f>ROUND(IF(K216=0,0,(IF(E216=4,SUM(B221:F221),IF(E216=1,SUM(B221:C221),0)))/K216),0)</f>
        <v>4</v>
      </c>
      <c r="C222" s="331">
        <f>ROUND(IF(K216=0,0,(IF(E216=4,G221,IF(E216=1,D221,0)))/K216),0)</f>
        <v>16</v>
      </c>
      <c r="D222" s="331">
        <f>ROUND(IF(K216=0,0,(IF(E216=4,H221,IF(E216=1,E221,0)))/K216),0)</f>
        <v>22</v>
      </c>
      <c r="E222" s="331">
        <f>ROUND(IF(K216=0,0,(IF(E216=4,I221,IF(E216=1,F221,0)))/K216),0)</f>
        <v>29</v>
      </c>
      <c r="F222" s="331">
        <f>ROUND(IF(K216=0,0,(IF(E216=4,J221,IF(E216=1,G221,0)))/K216),0)</f>
        <v>29</v>
      </c>
      <c r="G222" s="331">
        <f>ROUND(IF(K216=0,0,(IF(E216=4,K221,IF(E216=1,H221,0)))/K216),0)</f>
        <v>24</v>
      </c>
      <c r="H222" s="331">
        <f>ROUND(IF(K216=0,0,(IF(E216=4,L221,IF(E216=1,I221,0)))/K216),0)</f>
        <v>34</v>
      </c>
      <c r="I222" s="331">
        <f>ROUND(IF(K216=0,0,(IF(E216=4,M221,IF(E216=1,J221,0)))/K216),0)</f>
        <v>34</v>
      </c>
      <c r="J222" s="331">
        <f>ROUND(IF(K216=0,0,(IF(E216=4,N221,IF(E216=1,K221,0)))/K216),0)</f>
        <v>34</v>
      </c>
      <c r="K222" s="331">
        <f>ROUND(IF(K216=0,0,(IF(E216=1,L221,0))/K216),0)</f>
        <v>34</v>
      </c>
      <c r="L222" s="331">
        <f>ROUND(IF(K216=0,0,(IF(E216=1,M221,0))/K216),0)</f>
        <v>28</v>
      </c>
      <c r="M222" s="331">
        <f>ROUND(IF(K216=0,0,(IF(E216=1,N221,0))/K216),0)</f>
        <v>0</v>
      </c>
      <c r="N222" s="336"/>
    </row>
    <row r="223" ht="12.75"/>
    <row r="224" spans="2:12" ht="12.75">
      <c r="B224" s="341" t="s">
        <v>43</v>
      </c>
      <c r="C224" s="334">
        <f>'Poliof40 - LIVROB'!$P$941</f>
        <v>17</v>
      </c>
      <c r="D224" s="330" t="s">
        <v>65</v>
      </c>
      <c r="E224" s="334">
        <f>'Poliof40 - LIVROB'!$E$576</f>
        <v>1</v>
      </c>
      <c r="F224" s="330" t="s">
        <v>88</v>
      </c>
      <c r="G224" s="119">
        <v>20</v>
      </c>
      <c r="H224" s="342" t="s">
        <v>67</v>
      </c>
      <c r="I224" s="119">
        <v>1</v>
      </c>
      <c r="J224" s="329" t="s">
        <v>44</v>
      </c>
      <c r="K224" s="335">
        <f>1-'Poliof40 - LIVROB'!$D$576</f>
        <v>0.99</v>
      </c>
      <c r="L224" s="114"/>
    </row>
    <row r="225" spans="1:14" ht="12.75">
      <c r="A225" s="360" t="s">
        <v>90</v>
      </c>
      <c r="B225" s="330" t="s">
        <v>69</v>
      </c>
      <c r="C225" s="330" t="s">
        <v>25</v>
      </c>
      <c r="D225" s="330" t="s">
        <v>26</v>
      </c>
      <c r="E225" s="330" t="s">
        <v>27</v>
      </c>
      <c r="F225" s="330" t="s">
        <v>28</v>
      </c>
      <c r="G225" s="330" t="s">
        <v>47</v>
      </c>
      <c r="H225" s="330" t="s">
        <v>48</v>
      </c>
      <c r="I225" s="330" t="s">
        <v>49</v>
      </c>
      <c r="J225" s="330" t="s">
        <v>50</v>
      </c>
      <c r="K225" s="330" t="s">
        <v>51</v>
      </c>
      <c r="L225" s="330" t="s">
        <v>52</v>
      </c>
      <c r="M225" s="330" t="s">
        <v>53</v>
      </c>
      <c r="N225" s="330" t="s">
        <v>54</v>
      </c>
    </row>
    <row r="226" spans="1:14" ht="12.75">
      <c r="A226" s="330" t="s">
        <v>70</v>
      </c>
      <c r="B226" s="331">
        <f aca="true" t="shared" si="42" ref="B226:N226">B179</f>
        <v>0</v>
      </c>
      <c r="C226" s="331">
        <f t="shared" si="42"/>
        <v>34</v>
      </c>
      <c r="D226" s="331">
        <f t="shared" si="42"/>
        <v>39</v>
      </c>
      <c r="E226" s="331">
        <f t="shared" si="42"/>
        <v>33</v>
      </c>
      <c r="F226" s="331">
        <f t="shared" si="42"/>
        <v>62</v>
      </c>
      <c r="G226" s="331">
        <f t="shared" si="42"/>
        <v>53</v>
      </c>
      <c r="H226" s="331">
        <f t="shared" si="42"/>
        <v>55</v>
      </c>
      <c r="I226" s="331">
        <f t="shared" si="42"/>
        <v>47</v>
      </c>
      <c r="J226" s="331">
        <f t="shared" si="42"/>
        <v>73</v>
      </c>
      <c r="K226" s="331">
        <f t="shared" si="42"/>
        <v>61</v>
      </c>
      <c r="L226" s="331">
        <f t="shared" si="42"/>
        <v>56</v>
      </c>
      <c r="M226" s="331">
        <f t="shared" si="42"/>
        <v>48</v>
      </c>
      <c r="N226" s="331">
        <f t="shared" si="42"/>
        <v>0</v>
      </c>
    </row>
    <row r="227" spans="1:14" ht="12.75">
      <c r="A227" s="330" t="s">
        <v>71</v>
      </c>
      <c r="B227" s="336"/>
      <c r="C227" s="331">
        <f>'Poliof40 - LIVROB'!$B$948</f>
        <v>54</v>
      </c>
      <c r="D227" s="331">
        <f>'Poliof40 - LIVROB'!$C$948</f>
        <v>0</v>
      </c>
      <c r="E227" s="331">
        <f>'Poliof40 - LIVROB'!$D$948</f>
        <v>0</v>
      </c>
      <c r="F227" s="331">
        <f>'Poliof40 - LIVROB'!$E$948</f>
        <v>0</v>
      </c>
      <c r="G227" s="331">
        <f>'Poliof40 - LIVROB'!$F$948</f>
        <v>0</v>
      </c>
      <c r="H227" s="331">
        <f>'Poliof40 - LIVROB'!$G$948</f>
        <v>0</v>
      </c>
      <c r="I227" s="331">
        <f>'Poliof40 - LIVROB'!$H$948</f>
        <v>0</v>
      </c>
      <c r="J227" s="331">
        <f>'Poliof40 - LIVROB'!$I$948</f>
        <v>0</v>
      </c>
      <c r="K227" s="336">
        <v>0</v>
      </c>
      <c r="L227" s="336">
        <v>0</v>
      </c>
      <c r="M227" s="336">
        <v>0</v>
      </c>
      <c r="N227" s="336">
        <v>0</v>
      </c>
    </row>
    <row r="228" spans="1:14" ht="12.75">
      <c r="A228" s="330" t="s">
        <v>72</v>
      </c>
      <c r="B228" s="331">
        <f>C224+B227+B229-B226</f>
        <v>20</v>
      </c>
      <c r="C228" s="331">
        <f aca="true" t="shared" si="43" ref="C228:N228">B228+C229-C226+C227</f>
        <v>40</v>
      </c>
      <c r="D228" s="331">
        <f t="shared" si="43"/>
        <v>20</v>
      </c>
      <c r="E228" s="331">
        <f t="shared" si="43"/>
        <v>20</v>
      </c>
      <c r="F228" s="331">
        <f t="shared" si="43"/>
        <v>20</v>
      </c>
      <c r="G228" s="331">
        <f t="shared" si="43"/>
        <v>20</v>
      </c>
      <c r="H228" s="331">
        <f t="shared" si="43"/>
        <v>20</v>
      </c>
      <c r="I228" s="331">
        <f t="shared" si="43"/>
        <v>20</v>
      </c>
      <c r="J228" s="331">
        <f t="shared" si="43"/>
        <v>20</v>
      </c>
      <c r="K228" s="331">
        <f t="shared" si="43"/>
        <v>20</v>
      </c>
      <c r="L228" s="331">
        <f t="shared" si="43"/>
        <v>20</v>
      </c>
      <c r="M228" s="331">
        <f t="shared" si="43"/>
        <v>20</v>
      </c>
      <c r="N228" s="331">
        <f t="shared" si="43"/>
        <v>20</v>
      </c>
    </row>
    <row r="229" spans="1:14" ht="12.75">
      <c r="A229" s="330" t="s">
        <v>73</v>
      </c>
      <c r="B229" s="364">
        <f>IF(C224+B227-B226&lt;G224,MAXA(I224,G224+B226-C224-B227),0)</f>
        <v>3</v>
      </c>
      <c r="C229" s="331">
        <f>IF(B228+C227-C226&lt;G224,MAXA(I224,G224+C226-C227-B228),0)</f>
        <v>0</v>
      </c>
      <c r="D229" s="331">
        <f>IF(C228+D227-D226&lt;G224,MAXA(I224,G224+D226-D227-C228),0)</f>
        <v>19</v>
      </c>
      <c r="E229" s="331">
        <f>IF(D228+E227-E226&lt;G224,MAXA(I224,G224+E226-E227-D228),0)</f>
        <v>33</v>
      </c>
      <c r="F229" s="331">
        <f>IF(E228+F227-F226&lt;G224,MAXA(I224,G224+F226-F227-E228),0)</f>
        <v>62</v>
      </c>
      <c r="G229" s="331">
        <f>IF(F228+G227-G226&lt;G224,MAXA(I224,G224+G226-G227-F228),0)</f>
        <v>53</v>
      </c>
      <c r="H229" s="331">
        <f>IF(G228+H227-H226&lt;G224,MAXA(I224,G224+H226-H227-G228),0)</f>
        <v>55</v>
      </c>
      <c r="I229" s="331">
        <f>IF(H228+I227-I226&lt;G224,MAXA(I224,G224+I226-I227-H228),0)</f>
        <v>47</v>
      </c>
      <c r="J229" s="331">
        <f>IF(I228+J227-J226&lt;G224,MAXA(I224,G224+J226-J227-I228),0)</f>
        <v>73</v>
      </c>
      <c r="K229" s="331">
        <f>IF(J228+K227-K226&lt;G224,MAXA(I224,G224+K226-K227-J228),0)</f>
        <v>61</v>
      </c>
      <c r="L229" s="331">
        <f>IF(K228+L227-L226&lt;G224,MAXA(I224,G224+L226-L227-K228),0)</f>
        <v>56</v>
      </c>
      <c r="M229" s="331">
        <f>IF(L228+M227-M226&lt;G224,MAXA(I224,G224+M226-M227-L228),0)</f>
        <v>48</v>
      </c>
      <c r="N229" s="331">
        <f>IF(M228+N227-N226&lt;G224,MAXA(I224,G224+N226-N227-M228),0)</f>
        <v>0</v>
      </c>
    </row>
    <row r="230" spans="1:14" ht="12.75">
      <c r="A230" s="330" t="s">
        <v>74</v>
      </c>
      <c r="B230" s="364">
        <f>ROUND(IF(K224=0,0,(IF(E224=4,SUM(B229:F229),IF(E224=1,SUM(B229:C229),0)))/K224),0)</f>
        <v>3</v>
      </c>
      <c r="C230" s="331">
        <f>ROUND(IF(K224=0,0,(IF(E224=4,G229,IF(E224=1,D229,0)))/K224),0)</f>
        <v>19</v>
      </c>
      <c r="D230" s="331">
        <f>ROUND(IF(K224=0,0,(IF(E224=4,H229,IF(E224=1,E229,0)))/K224),0)</f>
        <v>33</v>
      </c>
      <c r="E230" s="331">
        <f>ROUND(IF(K224=0,0,(IF(E224=4,I229,IF(E224=1,F229,0)))/K224),0)</f>
        <v>63</v>
      </c>
      <c r="F230" s="331">
        <f>ROUND(IF(K224=0,0,(IF(E224=4,J229,IF(E224=1,G229,0)))/K224),0)</f>
        <v>54</v>
      </c>
      <c r="G230" s="331">
        <f>ROUND(IF(K224=0,0,(IF(E224=4,K229,IF(E224=1,H229,0)))/K224),0)</f>
        <v>56</v>
      </c>
      <c r="H230" s="331">
        <f>ROUND(IF(K224=0,0,(IF(E224=4,L229,IF(E224=1,I229,0)))/K224),0)</f>
        <v>47</v>
      </c>
      <c r="I230" s="331">
        <f>ROUND(IF(K224=0,0,(IF(E224=4,M229,IF(E224=1,J229,0)))/K224),0)</f>
        <v>74</v>
      </c>
      <c r="J230" s="331">
        <f>ROUND(IF(K224=0,0,(IF(E224=4,N229,IF(E224=1,K229,0)))/K224),0)</f>
        <v>62</v>
      </c>
      <c r="K230" s="331">
        <f>ROUND(IF(K224=0,0,(IF(E224=1,L229,0))/K224),0)</f>
        <v>57</v>
      </c>
      <c r="L230" s="331">
        <f>ROUND(IF(K224=0,0,(IF(E224=1,M229,0))/K224),0)</f>
        <v>48</v>
      </c>
      <c r="M230" s="331">
        <f>ROUND(IF(K224=0,0,(IF(E224=1,N229,0))/K224),0)</f>
        <v>0</v>
      </c>
      <c r="N230" s="336"/>
    </row>
    <row r="231" ht="12.75"/>
    <row r="232" spans="2:12" ht="12.75">
      <c r="B232" s="341" t="s">
        <v>43</v>
      </c>
      <c r="C232" s="334">
        <f>'Poliof40 - LIVROB'!$Q$941</f>
        <v>16</v>
      </c>
      <c r="D232" s="330" t="s">
        <v>65</v>
      </c>
      <c r="E232" s="334">
        <f>'Poliof40 - LIVROB'!$E$577</f>
        <v>1</v>
      </c>
      <c r="F232" s="330" t="s">
        <v>88</v>
      </c>
      <c r="G232" s="119">
        <v>20</v>
      </c>
      <c r="H232" s="342" t="s">
        <v>67</v>
      </c>
      <c r="I232" s="119">
        <v>1</v>
      </c>
      <c r="J232" s="329" t="s">
        <v>44</v>
      </c>
      <c r="K232" s="335">
        <f>1-'Poliof40 - LIVROB'!$D$577</f>
        <v>0.99</v>
      </c>
      <c r="L232" s="114"/>
    </row>
    <row r="233" spans="1:14" ht="12.75">
      <c r="A233" s="360" t="s">
        <v>91</v>
      </c>
      <c r="B233" s="330" t="s">
        <v>69</v>
      </c>
      <c r="C233" s="330" t="s">
        <v>25</v>
      </c>
      <c r="D233" s="330" t="s">
        <v>26</v>
      </c>
      <c r="E233" s="330" t="s">
        <v>27</v>
      </c>
      <c r="F233" s="330" t="s">
        <v>28</v>
      </c>
      <c r="G233" s="330" t="s">
        <v>47</v>
      </c>
      <c r="H233" s="330" t="s">
        <v>48</v>
      </c>
      <c r="I233" s="330" t="s">
        <v>49</v>
      </c>
      <c r="J233" s="330" t="s">
        <v>50</v>
      </c>
      <c r="K233" s="330" t="s">
        <v>51</v>
      </c>
      <c r="L233" s="330" t="s">
        <v>52</v>
      </c>
      <c r="M233" s="330" t="s">
        <v>53</v>
      </c>
      <c r="N233" s="330" t="s">
        <v>54</v>
      </c>
    </row>
    <row r="234" spans="1:14" ht="12.75">
      <c r="A234" s="330" t="s">
        <v>70</v>
      </c>
      <c r="B234" s="331">
        <f>B186+B193</f>
        <v>0</v>
      </c>
      <c r="C234" s="331">
        <f aca="true" t="shared" si="44" ref="C234:N234">C186+C193+C120</f>
        <v>27</v>
      </c>
      <c r="D234" s="331">
        <f t="shared" si="44"/>
        <v>23</v>
      </c>
      <c r="E234" s="331">
        <f t="shared" si="44"/>
        <v>23</v>
      </c>
      <c r="F234" s="331">
        <f t="shared" si="44"/>
        <v>31</v>
      </c>
      <c r="G234" s="331">
        <f t="shared" si="44"/>
        <v>31</v>
      </c>
      <c r="H234" s="331">
        <f t="shared" si="44"/>
        <v>25</v>
      </c>
      <c r="I234" s="331">
        <f t="shared" si="44"/>
        <v>36</v>
      </c>
      <c r="J234" s="331">
        <f t="shared" si="44"/>
        <v>36</v>
      </c>
      <c r="K234" s="331">
        <f t="shared" si="44"/>
        <v>36</v>
      </c>
      <c r="L234" s="331">
        <f t="shared" si="44"/>
        <v>36</v>
      </c>
      <c r="M234" s="331">
        <f t="shared" si="44"/>
        <v>30</v>
      </c>
      <c r="N234" s="331">
        <f t="shared" si="44"/>
        <v>0</v>
      </c>
    </row>
    <row r="235" spans="1:14" ht="12.75">
      <c r="A235" s="330" t="s">
        <v>71</v>
      </c>
      <c r="B235" s="336"/>
      <c r="C235" s="331">
        <f>'Poliof40 - LIVROB'!$B$949</f>
        <v>31</v>
      </c>
      <c r="D235" s="331">
        <f>'Poliof40 - LIVROB'!$C$949</f>
        <v>0</v>
      </c>
      <c r="E235" s="331">
        <f>'Poliof40 - LIVROB'!$D$949</f>
        <v>0</v>
      </c>
      <c r="F235" s="331">
        <f>'Poliof40 - LIVROB'!$E$949</f>
        <v>0</v>
      </c>
      <c r="G235" s="331">
        <f>'Poliof40 - LIVROB'!$F$949</f>
        <v>0</v>
      </c>
      <c r="H235" s="331">
        <f>'Poliof40 - LIVROB'!$G$949</f>
        <v>0</v>
      </c>
      <c r="I235" s="331">
        <f>'Poliof40 - LIVROB'!$H$949</f>
        <v>0</v>
      </c>
      <c r="J235" s="331">
        <f>'Poliof40 - LIVROB'!$I$949</f>
        <v>0</v>
      </c>
      <c r="K235" s="336">
        <v>0</v>
      </c>
      <c r="L235" s="336">
        <v>0</v>
      </c>
      <c r="M235" s="336">
        <v>0</v>
      </c>
      <c r="N235" s="336">
        <v>0</v>
      </c>
    </row>
    <row r="236" spans="1:14" ht="12.75">
      <c r="A236" s="330" t="s">
        <v>72</v>
      </c>
      <c r="B236" s="331">
        <f>C232+B235+B237-B234</f>
        <v>20</v>
      </c>
      <c r="C236" s="331">
        <f aca="true" t="shared" si="45" ref="C236:N236">B236+C237-C234+C235</f>
        <v>24</v>
      </c>
      <c r="D236" s="331">
        <f t="shared" si="45"/>
        <v>20</v>
      </c>
      <c r="E236" s="331">
        <f t="shared" si="45"/>
        <v>20</v>
      </c>
      <c r="F236" s="331">
        <f t="shared" si="45"/>
        <v>20</v>
      </c>
      <c r="G236" s="331">
        <f t="shared" si="45"/>
        <v>20</v>
      </c>
      <c r="H236" s="331">
        <f t="shared" si="45"/>
        <v>20</v>
      </c>
      <c r="I236" s="331">
        <f t="shared" si="45"/>
        <v>20</v>
      </c>
      <c r="J236" s="331">
        <f t="shared" si="45"/>
        <v>20</v>
      </c>
      <c r="K236" s="331">
        <f t="shared" si="45"/>
        <v>20</v>
      </c>
      <c r="L236" s="331">
        <f t="shared" si="45"/>
        <v>20</v>
      </c>
      <c r="M236" s="331">
        <f t="shared" si="45"/>
        <v>20</v>
      </c>
      <c r="N236" s="331">
        <f t="shared" si="45"/>
        <v>20</v>
      </c>
    </row>
    <row r="237" spans="1:14" ht="12.75">
      <c r="A237" s="330" t="s">
        <v>73</v>
      </c>
      <c r="B237" s="364">
        <f>IF(C232+B235-B234&lt;G232,MAXA(I232,G232+B234-C232-B235),0)</f>
        <v>4</v>
      </c>
      <c r="C237" s="331">
        <f>IF(B236+C235-C234&lt;G232,MAXA(I232,G232+C234-C235-B236),0)</f>
        <v>0</v>
      </c>
      <c r="D237" s="331">
        <f>IF(C236+D235-D234&lt;G232,MAXA(I232,G232+D234-D235-C236),0)</f>
        <v>19</v>
      </c>
      <c r="E237" s="331">
        <f>IF(D236+E235-E234&lt;G232,MAXA(I232,G232+E234-E235-D236),0)</f>
        <v>23</v>
      </c>
      <c r="F237" s="331">
        <f>IF(E236+F235-F234&lt;G232,MAXA(I232,G232+F234-F235-E236),0)</f>
        <v>31</v>
      </c>
      <c r="G237" s="331">
        <f>IF(F236+G235-G234&lt;G232,MAXA(I232,G232+G234-G235-F236),0)</f>
        <v>31</v>
      </c>
      <c r="H237" s="331">
        <f>IF(G236+H235-H234&lt;G232,MAXA(I232,G232+H234-H235-G236),0)</f>
        <v>25</v>
      </c>
      <c r="I237" s="331">
        <f>IF(H236+I235-I234&lt;G232,MAXA(I232,G232+I234-I235-H236),0)</f>
        <v>36</v>
      </c>
      <c r="J237" s="331">
        <f>IF(I236+J235-J234&lt;G232,MAXA(I232,G232+J234-J235-I236),0)</f>
        <v>36</v>
      </c>
      <c r="K237" s="331">
        <f>IF(J236+K235-K234&lt;G232,MAXA(I232,G232+K234-K235-J236),0)</f>
        <v>36</v>
      </c>
      <c r="L237" s="331">
        <f>IF(K236+L235-L234&lt;G232,MAXA(I232,G232+L234-L235-K236),0)</f>
        <v>36</v>
      </c>
      <c r="M237" s="331">
        <f>IF(L236+M235-M234&lt;G232,MAXA(I232,G232+M234-M235-L236),0)</f>
        <v>30</v>
      </c>
      <c r="N237" s="331">
        <f>IF(M236+N235-N234&lt;G232,MAXA(I232,G232+N234-N235-M236),0)</f>
        <v>0</v>
      </c>
    </row>
    <row r="238" spans="1:14" ht="12.75">
      <c r="A238" s="330" t="s">
        <v>74</v>
      </c>
      <c r="B238" s="364">
        <f>ROUND(IF(K232=0,0,(IF(E232=4,SUM(B237:F237),IF(E232=1,SUM(B237:C237),0)))/K232),0)</f>
        <v>4</v>
      </c>
      <c r="C238" s="331">
        <f>ROUND(IF(K232=0,0,(IF(E232=4,G237,IF(E232=1,D237,0)))/K232),0)</f>
        <v>19</v>
      </c>
      <c r="D238" s="331">
        <f>ROUND(IF(K232=0,0,(IF(E232=4,H237,IF(E232=1,E237,0)))/K232),0)</f>
        <v>23</v>
      </c>
      <c r="E238" s="331">
        <f>ROUND(IF(K232=0,0,(IF(E232=4,I237,IF(E232=1,F237,0)))/K232),0)</f>
        <v>31</v>
      </c>
      <c r="F238" s="331">
        <f>ROUND(IF(K232=0,0,(IF(E232=4,J237,IF(E232=1,G237,0)))/K232),0)</f>
        <v>31</v>
      </c>
      <c r="G238" s="331">
        <f>ROUND(IF(K232=0,0,(IF(E232=4,K237,IF(E232=1,H237,0)))/K232),0)</f>
        <v>25</v>
      </c>
      <c r="H238" s="331">
        <f>ROUND(IF(K232=0,0,(IF(E232=4,L237,IF(E232=1,I237,0)))/K232),0)</f>
        <v>36</v>
      </c>
      <c r="I238" s="331">
        <f>ROUND(IF(K232=0,0,(IF(E232=4,M237,IF(E232=1,J237,0)))/K232),0)</f>
        <v>36</v>
      </c>
      <c r="J238" s="331">
        <f>ROUND(IF(K232=0,0,(IF(E232=4,N237,IF(E232=1,K237,0)))/K232),0)</f>
        <v>36</v>
      </c>
      <c r="K238" s="331">
        <f>ROUND(IF(K232=0,0,(IF(E232=1,L237,0))/K232),0)</f>
        <v>36</v>
      </c>
      <c r="L238" s="331">
        <f>ROUND(IF(K232=0,0,(IF(E232=1,M237,0))/K232),0)</f>
        <v>30</v>
      </c>
      <c r="M238" s="331">
        <f>ROUND(IF(K232=0,0,(IF(E232=1,N237,0))/K232),0)</f>
        <v>0</v>
      </c>
      <c r="N238" s="336"/>
    </row>
    <row r="239" ht="12.75">
      <c r="F239" s="111"/>
    </row>
    <row r="240" spans="2:12" ht="12.75">
      <c r="B240" s="341" t="s">
        <v>43</v>
      </c>
      <c r="C240" s="334">
        <f>'Poliof40 - LIVROB'!$R$941</f>
        <v>28</v>
      </c>
      <c r="D240" s="330" t="s">
        <v>65</v>
      </c>
      <c r="E240" s="334">
        <f>'Poliof40 - LIVROB'!$E$578</f>
        <v>1</v>
      </c>
      <c r="F240" s="330" t="s">
        <v>88</v>
      </c>
      <c r="G240" s="119">
        <v>30</v>
      </c>
      <c r="H240" s="342" t="s">
        <v>67</v>
      </c>
      <c r="I240" s="119">
        <v>1</v>
      </c>
      <c r="J240" s="329" t="s">
        <v>44</v>
      </c>
      <c r="K240" s="335">
        <f>1-'Poliof40 - LIVROB'!$D$578</f>
        <v>0.99</v>
      </c>
      <c r="L240" s="114"/>
    </row>
    <row r="241" spans="1:14" ht="12.75">
      <c r="A241" s="360" t="s">
        <v>92</v>
      </c>
      <c r="B241" s="330" t="s">
        <v>69</v>
      </c>
      <c r="C241" s="330" t="s">
        <v>25</v>
      </c>
      <c r="D241" s="330" t="s">
        <v>26</v>
      </c>
      <c r="E241" s="330" t="s">
        <v>27</v>
      </c>
      <c r="F241" s="330" t="s">
        <v>28</v>
      </c>
      <c r="G241" s="330" t="s">
        <v>47</v>
      </c>
      <c r="H241" s="330" t="s">
        <v>48</v>
      </c>
      <c r="I241" s="330" t="s">
        <v>49</v>
      </c>
      <c r="J241" s="330" t="s">
        <v>50</v>
      </c>
      <c r="K241" s="330" t="s">
        <v>51</v>
      </c>
      <c r="L241" s="330" t="s">
        <v>52</v>
      </c>
      <c r="M241" s="330" t="s">
        <v>53</v>
      </c>
      <c r="N241" s="330" t="s">
        <v>54</v>
      </c>
    </row>
    <row r="242" spans="1:14" ht="12.75">
      <c r="A242" s="330" t="s">
        <v>70</v>
      </c>
      <c r="B242" s="331">
        <f>B200+B207+B214</f>
        <v>0</v>
      </c>
      <c r="C242" s="331">
        <f aca="true" t="shared" si="46" ref="C242:N242">C200+C207+C214+C127</f>
        <v>51</v>
      </c>
      <c r="D242" s="331">
        <f t="shared" si="46"/>
        <v>52</v>
      </c>
      <c r="E242" s="331">
        <f t="shared" si="46"/>
        <v>46</v>
      </c>
      <c r="F242" s="331">
        <f t="shared" si="46"/>
        <v>76</v>
      </c>
      <c r="G242" s="331">
        <f t="shared" si="46"/>
        <v>67</v>
      </c>
      <c r="H242" s="331">
        <f t="shared" si="46"/>
        <v>77</v>
      </c>
      <c r="I242" s="331">
        <f t="shared" si="46"/>
        <v>70</v>
      </c>
      <c r="J242" s="331">
        <f t="shared" si="46"/>
        <v>96</v>
      </c>
      <c r="K242" s="331">
        <f t="shared" si="46"/>
        <v>84</v>
      </c>
      <c r="L242" s="331">
        <f t="shared" si="46"/>
        <v>78</v>
      </c>
      <c r="M242" s="331">
        <f t="shared" si="46"/>
        <v>71</v>
      </c>
      <c r="N242" s="331">
        <f t="shared" si="46"/>
        <v>0</v>
      </c>
    </row>
    <row r="243" spans="1:14" ht="12.75">
      <c r="A243" s="330" t="s">
        <v>71</v>
      </c>
      <c r="B243" s="336"/>
      <c r="C243" s="331">
        <f>'Poliof40 - LIVROB'!$B$950</f>
        <v>68</v>
      </c>
      <c r="D243" s="331">
        <f>'Poliof40 - LIVROB'!$C$950</f>
        <v>0</v>
      </c>
      <c r="E243" s="331">
        <f>'Poliof40 - LIVROB'!$D$950</f>
        <v>0</v>
      </c>
      <c r="F243" s="331">
        <f>'Poliof40 - LIVROB'!$E$950</f>
        <v>0</v>
      </c>
      <c r="G243" s="331">
        <f>'Poliof40 - LIVROB'!$F$950</f>
        <v>0</v>
      </c>
      <c r="H243" s="331">
        <f>'Poliof40 - LIVROB'!$G$950</f>
        <v>0</v>
      </c>
      <c r="I243" s="331">
        <f>'Poliof40 - LIVROB'!$H$950</f>
        <v>0</v>
      </c>
      <c r="J243" s="331">
        <f>'Poliof40 - LIVROB'!$I$950</f>
        <v>0</v>
      </c>
      <c r="K243" s="336">
        <v>0</v>
      </c>
      <c r="L243" s="336">
        <v>0</v>
      </c>
      <c r="M243" s="336">
        <v>0</v>
      </c>
      <c r="N243" s="336">
        <v>0</v>
      </c>
    </row>
    <row r="244" spans="1:14" ht="12.75">
      <c r="A244" s="330" t="s">
        <v>72</v>
      </c>
      <c r="B244" s="331">
        <f>C240+B243+B245-B242</f>
        <v>30</v>
      </c>
      <c r="C244" s="331">
        <f aca="true" t="shared" si="47" ref="C244:N244">B244+C245-C242+C243</f>
        <v>47</v>
      </c>
      <c r="D244" s="331">
        <f t="shared" si="47"/>
        <v>30</v>
      </c>
      <c r="E244" s="331">
        <f t="shared" si="47"/>
        <v>30</v>
      </c>
      <c r="F244" s="331">
        <f t="shared" si="47"/>
        <v>30</v>
      </c>
      <c r="G244" s="331">
        <f t="shared" si="47"/>
        <v>30</v>
      </c>
      <c r="H244" s="331">
        <f t="shared" si="47"/>
        <v>30</v>
      </c>
      <c r="I244" s="331">
        <f t="shared" si="47"/>
        <v>30</v>
      </c>
      <c r="J244" s="331">
        <f t="shared" si="47"/>
        <v>30</v>
      </c>
      <c r="K244" s="331">
        <f t="shared" si="47"/>
        <v>30</v>
      </c>
      <c r="L244" s="331">
        <f t="shared" si="47"/>
        <v>30</v>
      </c>
      <c r="M244" s="331">
        <f t="shared" si="47"/>
        <v>30</v>
      </c>
      <c r="N244" s="331">
        <f t="shared" si="47"/>
        <v>30</v>
      </c>
    </row>
    <row r="245" spans="1:14" ht="12.75">
      <c r="A245" s="330" t="s">
        <v>73</v>
      </c>
      <c r="B245" s="364">
        <f>IF(C240+B243-B242&lt;G240,MAXA(I240,G240+B242-C240-B243),0)</f>
        <v>2</v>
      </c>
      <c r="C245" s="331">
        <f>IF(B244+C243-C242&lt;G240,MAXA(I240,G240+C242-C243-B244),0)</f>
        <v>0</v>
      </c>
      <c r="D245" s="331">
        <f>IF(C244+D243-D242&lt;G240,MAXA(I240,G240+D242-D243-C244),0)</f>
        <v>35</v>
      </c>
      <c r="E245" s="331">
        <f>IF(D244+E243-E242&lt;G240,MAXA(I240,G240+E242-E243-D244),0)</f>
        <v>46</v>
      </c>
      <c r="F245" s="331">
        <f>IF(E244+F243-F242&lt;G240,MAXA(I240,G240+F242-F243-E244),0)</f>
        <v>76</v>
      </c>
      <c r="G245" s="331">
        <f>IF(F244+G243-G242&lt;G240,MAXA(I240,G240+G242-G243-F244),0)</f>
        <v>67</v>
      </c>
      <c r="H245" s="331">
        <f>IF(G244+H243-H242&lt;G240,MAXA(I240,G240+H242-H243-G244),0)</f>
        <v>77</v>
      </c>
      <c r="I245" s="331">
        <f>IF(H244+I243-I242&lt;G240,MAXA(I240,G240+I242-I243-H244),0)</f>
        <v>70</v>
      </c>
      <c r="J245" s="331">
        <f>IF(I244+J243-J242&lt;G240,MAXA(I240,G240+J242-J243-I244),0)</f>
        <v>96</v>
      </c>
      <c r="K245" s="331">
        <f>IF(J244+K243-K242&lt;G240,MAXA(I240,G240+K242-K243-J244),0)</f>
        <v>84</v>
      </c>
      <c r="L245" s="331">
        <f>IF(K244+L243-L242&lt;G240,MAXA(I240,G240+L242-L243-K244),0)</f>
        <v>78</v>
      </c>
      <c r="M245" s="331">
        <f>IF(L244+M243-M242&lt;G240,MAXA(I240,G240+M242-M243-L244),0)</f>
        <v>71</v>
      </c>
      <c r="N245" s="331">
        <f>IF(M244+N243-N242&lt;G240,MAXA(I240,G240+N242-N243-M244),0)</f>
        <v>0</v>
      </c>
    </row>
    <row r="246" spans="1:14" ht="12.75">
      <c r="A246" s="330" t="s">
        <v>74</v>
      </c>
      <c r="B246" s="364">
        <f>ROUND(IF(K240=0,0,(IF(E240=4,SUM(B245:F245),IF(E240=1,SUM(B245:C245),0)))/K240),0)</f>
        <v>2</v>
      </c>
      <c r="C246" s="331">
        <f>ROUND(IF(K240=0,0,(IF(E240=4,G245,IF(E240=1,D245,0)))/K240),0)</f>
        <v>35</v>
      </c>
      <c r="D246" s="331">
        <f>ROUND(IF(K240=0,0,(IF(E240=4,H245,IF(E240=1,E245,0)))/K240),0)</f>
        <v>46</v>
      </c>
      <c r="E246" s="331">
        <f>ROUND(IF(K240=0,0,(IF(E240=4,I245,IF(E240=1,F245,0)))/K240),0)</f>
        <v>77</v>
      </c>
      <c r="F246" s="331">
        <f>ROUND(IF(K240=0,0,(IF(E240=4,J245,IF(E240=1,G245,0)))/K240),0)</f>
        <v>68</v>
      </c>
      <c r="G246" s="331">
        <f>ROUND(IF(K240=0,0,(IF(E240=4,K245,IF(E240=1,H245,0)))/K240),0)</f>
        <v>78</v>
      </c>
      <c r="H246" s="331">
        <f>ROUND(IF(K240=0,0,(IF(E240=4,L245,IF(E240=1,I245,0)))/K240),0)</f>
        <v>71</v>
      </c>
      <c r="I246" s="331">
        <f>ROUND(IF(K240=0,0,(IF(E240=4,M245,IF(E240=1,J245,0)))/K240),0)</f>
        <v>97</v>
      </c>
      <c r="J246" s="331">
        <f>ROUND(IF(K240=0,0,(IF(E240=4,N245,IF(E240=1,K245,0)))/K240),0)</f>
        <v>85</v>
      </c>
      <c r="K246" s="331">
        <f>ROUND(IF(K240=0,0,(IF(E240=1,L245,0))/K240),0)</f>
        <v>79</v>
      </c>
      <c r="L246" s="331">
        <f>ROUND(IF(K240=0,0,(IF(E240=1,M245,0))/K240),0)</f>
        <v>72</v>
      </c>
      <c r="M246" s="331">
        <f>ROUND(IF(K240=0,0,(IF(E240=1,N245,0))/K240),0)</f>
        <v>0</v>
      </c>
      <c r="N246" s="336"/>
    </row>
    <row r="247" ht="12.75"/>
    <row r="248" spans="2:12" ht="12.75">
      <c r="B248" s="341" t="s">
        <v>43</v>
      </c>
      <c r="C248" s="334">
        <f>'Poliof40 - LIVROB'!$S$941</f>
        <v>679</v>
      </c>
      <c r="D248" s="330" t="s">
        <v>65</v>
      </c>
      <c r="E248" s="334">
        <f>'Poliof40 - LIVROB'!$E$579</f>
        <v>1</v>
      </c>
      <c r="F248" s="330" t="s">
        <v>88</v>
      </c>
      <c r="G248" s="119">
        <v>700</v>
      </c>
      <c r="H248" s="342" t="s">
        <v>67</v>
      </c>
      <c r="I248" s="119">
        <v>1</v>
      </c>
      <c r="J248" s="329" t="s">
        <v>44</v>
      </c>
      <c r="K248" s="335">
        <f>1-'Poliof40 - LIVROB'!$D$579</f>
        <v>0.99</v>
      </c>
      <c r="L248" s="114"/>
    </row>
    <row r="249" spans="1:14" ht="12.75">
      <c r="A249" s="360" t="s">
        <v>93</v>
      </c>
      <c r="B249" s="330" t="s">
        <v>69</v>
      </c>
      <c r="C249" s="330" t="s">
        <v>25</v>
      </c>
      <c r="D249" s="330" t="s">
        <v>26</v>
      </c>
      <c r="E249" s="330" t="s">
        <v>27</v>
      </c>
      <c r="F249" s="330" t="s">
        <v>28</v>
      </c>
      <c r="G249" s="330" t="s">
        <v>47</v>
      </c>
      <c r="H249" s="330" t="s">
        <v>48</v>
      </c>
      <c r="I249" s="330" t="s">
        <v>49</v>
      </c>
      <c r="J249" s="330" t="s">
        <v>50</v>
      </c>
      <c r="K249" s="330" t="s">
        <v>51</v>
      </c>
      <c r="L249" s="330" t="s">
        <v>52</v>
      </c>
      <c r="M249" s="330" t="s">
        <v>53</v>
      </c>
      <c r="N249" s="330" t="s">
        <v>54</v>
      </c>
    </row>
    <row r="250" spans="1:14" ht="12.75">
      <c r="A250" s="330" t="s">
        <v>70</v>
      </c>
      <c r="B250" s="331">
        <f aca="true" t="shared" si="48" ref="B250:N250">8*B200+16*(B186+B207)+32*(B193+B214)</f>
        <v>0</v>
      </c>
      <c r="C250" s="331">
        <f t="shared" si="48"/>
        <v>1448</v>
      </c>
      <c r="D250" s="331">
        <f t="shared" si="48"/>
        <v>1568</v>
      </c>
      <c r="E250" s="331">
        <f t="shared" si="48"/>
        <v>1520</v>
      </c>
      <c r="F250" s="331">
        <f t="shared" si="48"/>
        <v>2064</v>
      </c>
      <c r="G250" s="331">
        <f t="shared" si="48"/>
        <v>2008</v>
      </c>
      <c r="H250" s="331">
        <f t="shared" si="48"/>
        <v>2120</v>
      </c>
      <c r="I250" s="331">
        <f t="shared" si="48"/>
        <v>2320</v>
      </c>
      <c r="J250" s="331">
        <f t="shared" si="48"/>
        <v>2528</v>
      </c>
      <c r="K250" s="331">
        <f t="shared" si="48"/>
        <v>2432</v>
      </c>
      <c r="L250" s="331">
        <f t="shared" si="48"/>
        <v>2384</v>
      </c>
      <c r="M250" s="331">
        <f t="shared" si="48"/>
        <v>2232</v>
      </c>
      <c r="N250" s="331">
        <f t="shared" si="48"/>
        <v>0</v>
      </c>
    </row>
    <row r="251" spans="1:14" ht="12.75">
      <c r="A251" s="330" t="s">
        <v>71</v>
      </c>
      <c r="B251" s="336"/>
      <c r="C251" s="331">
        <f>'Poliof40 - LIVROB'!$B$951</f>
        <v>2028</v>
      </c>
      <c r="D251" s="331">
        <f>'Poliof40 - LIVROB'!$C$951</f>
        <v>0</v>
      </c>
      <c r="E251" s="331">
        <f>'Poliof40 - LIVROB'!$D$951</f>
        <v>0</v>
      </c>
      <c r="F251" s="331">
        <f>'Poliof40 - LIVROB'!$E$951</f>
        <v>0</v>
      </c>
      <c r="G251" s="331">
        <f>'Poliof40 - LIVROB'!$F$951</f>
        <v>0</v>
      </c>
      <c r="H251" s="331">
        <f>'Poliof40 - LIVROB'!$G$951</f>
        <v>0</v>
      </c>
      <c r="I251" s="331">
        <f>'Poliof40 - LIVROB'!$H$951</f>
        <v>0</v>
      </c>
      <c r="J251" s="331">
        <f>'Poliof40 - LIVROB'!$I$951</f>
        <v>0</v>
      </c>
      <c r="K251" s="336">
        <v>0</v>
      </c>
      <c r="L251" s="336">
        <v>0</v>
      </c>
      <c r="M251" s="336">
        <v>0</v>
      </c>
      <c r="N251" s="336">
        <v>0</v>
      </c>
    </row>
    <row r="252" spans="1:14" ht="12.75">
      <c r="A252" s="330" t="s">
        <v>72</v>
      </c>
      <c r="B252" s="331">
        <f>C248+B251+B253-B250</f>
        <v>700</v>
      </c>
      <c r="C252" s="331">
        <f aca="true" t="shared" si="49" ref="C252:N252">B252+C253-C250+C251</f>
        <v>1280</v>
      </c>
      <c r="D252" s="331">
        <f t="shared" si="49"/>
        <v>700</v>
      </c>
      <c r="E252" s="331">
        <f t="shared" si="49"/>
        <v>700</v>
      </c>
      <c r="F252" s="331">
        <f t="shared" si="49"/>
        <v>700</v>
      </c>
      <c r="G252" s="331">
        <f t="shared" si="49"/>
        <v>700</v>
      </c>
      <c r="H252" s="331">
        <f t="shared" si="49"/>
        <v>700</v>
      </c>
      <c r="I252" s="331">
        <f t="shared" si="49"/>
        <v>700</v>
      </c>
      <c r="J252" s="331">
        <f t="shared" si="49"/>
        <v>700</v>
      </c>
      <c r="K252" s="331">
        <f t="shared" si="49"/>
        <v>700</v>
      </c>
      <c r="L252" s="331">
        <f t="shared" si="49"/>
        <v>700</v>
      </c>
      <c r="M252" s="331">
        <f t="shared" si="49"/>
        <v>700</v>
      </c>
      <c r="N252" s="331">
        <f t="shared" si="49"/>
        <v>700</v>
      </c>
    </row>
    <row r="253" spans="1:28" ht="12.75">
      <c r="A253" s="330" t="s">
        <v>73</v>
      </c>
      <c r="B253" s="364">
        <f>IF(C248+B251-B250&lt;G248,MAXA(I248,G248+B250-C248-B251),0)</f>
        <v>21</v>
      </c>
      <c r="C253" s="331">
        <f>IF(B252+C251-C250&lt;G248,MAXA(I248,G248+C250-C251-B252),0)</f>
        <v>0</v>
      </c>
      <c r="D253" s="331">
        <f>IF(C252+D251-D250&lt;G248,MAXA(I248,G248+D250-D251-C252),0)</f>
        <v>988</v>
      </c>
      <c r="E253" s="331">
        <f>IF(D252+E251-E250&lt;G248,MAXA(I248,G248+E250-E251-D252),0)</f>
        <v>1520</v>
      </c>
      <c r="F253" s="331">
        <f>IF(E252+F251-F250&lt;G248,MAXA(I248,G248+F250-F251-E252),0)</f>
        <v>2064</v>
      </c>
      <c r="G253" s="331">
        <f>IF(F252+G251-G250&lt;G248,MAXA(I248,G248+G250-G251-F252),0)</f>
        <v>2008</v>
      </c>
      <c r="H253" s="331">
        <f>IF(G252+H251-H250&lt;G248,MAXA(I248,G248+H250-H251-G252),0)</f>
        <v>2120</v>
      </c>
      <c r="I253" s="331">
        <f>IF(H252+I251-I250&lt;G248,MAXA(I248,G248+I250-I251-H252),0)</f>
        <v>2320</v>
      </c>
      <c r="J253" s="331">
        <f>IF(I252+J251-J250&lt;G248,MAXA(I248,G248+J250-J251-I252),0)</f>
        <v>2528</v>
      </c>
      <c r="K253" s="331">
        <f>IF(J252+K251-K250&lt;G248,MAXA(I248,G248+K250-K251-J252),0)</f>
        <v>2432</v>
      </c>
      <c r="L253" s="331">
        <f>IF(K252+L251-L250&lt;G248,MAXA(I248,G248+L250-L251-K252),0)</f>
        <v>2384</v>
      </c>
      <c r="M253" s="331">
        <f>IF(L252+M251-M250&lt;G248,MAXA(I248,G248+M250-M251-L252),0)</f>
        <v>2232</v>
      </c>
      <c r="N253" s="331">
        <f>IF(M252+N251-N250&lt;G248,MAXA(I248,G248+N250-N251-M252),0)</f>
        <v>0</v>
      </c>
      <c r="AB253"/>
    </row>
    <row r="254" spans="1:28" ht="12.75">
      <c r="A254" s="330" t="s">
        <v>74</v>
      </c>
      <c r="B254" s="364">
        <f>ROUND(IF(K248=0,0,(IF(E248=4,SUM(B253:F253),IF(E248=1,SUM(B253:C253),0)))/K248),0)</f>
        <v>21</v>
      </c>
      <c r="C254" s="331">
        <f>ROUND(IF(K248=0,0,(IF(E248=4,G253,IF(E248=1,D253,0)))/K248),0)</f>
        <v>998</v>
      </c>
      <c r="D254" s="331">
        <f>ROUND(IF(K248=0,0,(IF(E248=4,H253,IF(E248=1,E253,0)))/K248),0)</f>
        <v>1535</v>
      </c>
      <c r="E254" s="331">
        <f>ROUND(IF(K248=0,0,(IF(E248=4,I253,IF(E248=1,F253,0)))/K248),0)</f>
        <v>2085</v>
      </c>
      <c r="F254" s="331">
        <f>ROUND(IF(K248=0,0,(IF(E248=4,J253,IF(E248=1,G253,0)))/K248),0)</f>
        <v>2028</v>
      </c>
      <c r="G254" s="331">
        <f>ROUND(IF(K248=0,0,(IF(E248=4,K253,IF(E248=1,H253,0)))/K248),0)</f>
        <v>2141</v>
      </c>
      <c r="H254" s="331">
        <f>ROUND(IF(K248=0,0,(IF(E248=4,L253,IF(E248=1,I253,0)))/K248),0)</f>
        <v>2343</v>
      </c>
      <c r="I254" s="331">
        <f>ROUND(IF(K248=0,0,(IF(E248=4,M253,IF(E248=1,J253,0)))/K248),0)</f>
        <v>2554</v>
      </c>
      <c r="J254" s="331">
        <f>ROUND(IF(K248=0,0,(IF(E248=4,N253,IF(E248=1,K253,0)))/K248),0)</f>
        <v>2457</v>
      </c>
      <c r="K254" s="331">
        <f>ROUND(IF(K248=0,0,(IF(E248=1,L253,0))/K248),0)</f>
        <v>2408</v>
      </c>
      <c r="L254" s="331">
        <f>ROUND(IF(K248=0,0,(IF(E248=1,M253,0))/K248),0)</f>
        <v>2255</v>
      </c>
      <c r="M254" s="331">
        <f>ROUND(IF(K248=0,0,(IF(E248=1,N253,0))/K248),0)</f>
        <v>0</v>
      </c>
      <c r="N254" s="336"/>
      <c r="AB254"/>
    </row>
    <row r="255" ht="12.75"/>
    <row r="256" spans="2:12" ht="12.75">
      <c r="B256" s="341" t="s">
        <v>43</v>
      </c>
      <c r="C256" s="334">
        <f>'Poliof40 - LIVROB'!$T$941</f>
        <v>53</v>
      </c>
      <c r="D256" s="330" t="s">
        <v>78</v>
      </c>
      <c r="E256" s="444">
        <v>1</v>
      </c>
      <c r="F256" s="330" t="s">
        <v>88</v>
      </c>
      <c r="G256" s="119">
        <v>20</v>
      </c>
      <c r="H256" s="342" t="s">
        <v>67</v>
      </c>
      <c r="I256" s="119">
        <v>1</v>
      </c>
      <c r="J256" s="329" t="s">
        <v>44</v>
      </c>
      <c r="K256" s="335">
        <f>1-'Poliof40 - LIVROB'!$D$560</f>
        <v>0.85</v>
      </c>
      <c r="L256" s="114"/>
    </row>
    <row r="257" spans="1:14" ht="12.75">
      <c r="A257" s="360" t="s">
        <v>94</v>
      </c>
      <c r="B257" s="330" t="s">
        <v>69</v>
      </c>
      <c r="C257" s="330" t="s">
        <v>25</v>
      </c>
      <c r="D257" s="330" t="s">
        <v>26</v>
      </c>
      <c r="E257" s="330" t="s">
        <v>27</v>
      </c>
      <c r="F257" s="330" t="s">
        <v>28</v>
      </c>
      <c r="G257" s="330" t="s">
        <v>47</v>
      </c>
      <c r="H257" s="330" t="s">
        <v>48</v>
      </c>
      <c r="I257" s="330" t="s">
        <v>49</v>
      </c>
      <c r="J257" s="330" t="s">
        <v>50</v>
      </c>
      <c r="K257" s="330" t="s">
        <v>51</v>
      </c>
      <c r="L257" s="330" t="s">
        <v>52</v>
      </c>
      <c r="M257" s="330" t="s">
        <v>53</v>
      </c>
      <c r="N257" s="330" t="s">
        <v>54</v>
      </c>
    </row>
    <row r="258" spans="1:14" ht="12.75">
      <c r="A258" s="330" t="s">
        <v>70</v>
      </c>
      <c r="B258" s="336">
        <f aca="true" t="shared" si="50" ref="B258:N258">B171</f>
        <v>0</v>
      </c>
      <c r="C258" s="331">
        <f t="shared" si="50"/>
        <v>23</v>
      </c>
      <c r="D258" s="331">
        <f t="shared" si="50"/>
        <v>22</v>
      </c>
      <c r="E258" s="331">
        <f t="shared" si="50"/>
        <v>22</v>
      </c>
      <c r="F258" s="331">
        <f t="shared" si="50"/>
        <v>29</v>
      </c>
      <c r="G258" s="331">
        <f t="shared" si="50"/>
        <v>29</v>
      </c>
      <c r="H258" s="331">
        <f t="shared" si="50"/>
        <v>24</v>
      </c>
      <c r="I258" s="331">
        <f t="shared" si="50"/>
        <v>34</v>
      </c>
      <c r="J258" s="331">
        <f t="shared" si="50"/>
        <v>34</v>
      </c>
      <c r="K258" s="331">
        <f t="shared" si="50"/>
        <v>34</v>
      </c>
      <c r="L258" s="331">
        <f t="shared" si="50"/>
        <v>34</v>
      </c>
      <c r="M258" s="331">
        <f t="shared" si="50"/>
        <v>28</v>
      </c>
      <c r="N258" s="331">
        <f t="shared" si="50"/>
        <v>0</v>
      </c>
    </row>
    <row r="259" spans="1:14" ht="12.75">
      <c r="A259" s="330" t="s">
        <v>72</v>
      </c>
      <c r="B259" s="331">
        <f>C256+B260-B258</f>
        <v>53</v>
      </c>
      <c r="C259" s="331">
        <f aca="true" t="shared" si="51" ref="C259:N259">B259+C260-C258</f>
        <v>30</v>
      </c>
      <c r="D259" s="331">
        <f t="shared" si="51"/>
        <v>20</v>
      </c>
      <c r="E259" s="331">
        <f t="shared" si="51"/>
        <v>20</v>
      </c>
      <c r="F259" s="331">
        <f t="shared" si="51"/>
        <v>20</v>
      </c>
      <c r="G259" s="331">
        <f t="shared" si="51"/>
        <v>20</v>
      </c>
      <c r="H259" s="331">
        <f t="shared" si="51"/>
        <v>20</v>
      </c>
      <c r="I259" s="331">
        <f t="shared" si="51"/>
        <v>20</v>
      </c>
      <c r="J259" s="331">
        <f t="shared" si="51"/>
        <v>20</v>
      </c>
      <c r="K259" s="331">
        <f t="shared" si="51"/>
        <v>20</v>
      </c>
      <c r="L259" s="331">
        <f t="shared" si="51"/>
        <v>20</v>
      </c>
      <c r="M259" s="331">
        <f t="shared" si="51"/>
        <v>20</v>
      </c>
      <c r="N259" s="331">
        <f t="shared" si="51"/>
        <v>20</v>
      </c>
    </row>
    <row r="260" spans="1:14" ht="12.75">
      <c r="A260" s="330" t="s">
        <v>82</v>
      </c>
      <c r="B260" s="364">
        <f>IF(C256-B258&lt;G256,MAXA(I256,G256+B258-C256),0)</f>
        <v>0</v>
      </c>
      <c r="C260" s="331">
        <f>IF(B259-C258&lt;G256,MAXA(I256,G256+C258-B259),0)</f>
        <v>0</v>
      </c>
      <c r="D260" s="331">
        <f>IF(C259-D258&lt;G256,MAXA(I256,G256+D258-C259),0)</f>
        <v>12</v>
      </c>
      <c r="E260" s="331">
        <f>IF(D259-E258&lt;G256,MAXA(I256,G256+E258-D259),0)</f>
        <v>22</v>
      </c>
      <c r="F260" s="331">
        <f>IF(E259-F258&lt;G256,MAXA(I256,G256+F258-E259),0)</f>
        <v>29</v>
      </c>
      <c r="G260" s="331">
        <f>IF(F259-G258&lt;G256,MAXA(I256,G256+G258-F259),0)</f>
        <v>29</v>
      </c>
      <c r="H260" s="331">
        <f>IF(G259-H258&lt;G256,MAXA(I256,G256+H258-G259),0)</f>
        <v>24</v>
      </c>
      <c r="I260" s="331">
        <f>IF(H259-I258&lt;G256,MAXA(I256,G256+I258-H259),0)</f>
        <v>34</v>
      </c>
      <c r="J260" s="331">
        <f>IF(I259-J258&lt;G256,MAXA(I256,G256+J258-I259),0)</f>
        <v>34</v>
      </c>
      <c r="K260" s="331">
        <f>IF(J259-K258&lt;G256,MAXA(I256,G256+K258-J259),0)</f>
        <v>34</v>
      </c>
      <c r="L260" s="331">
        <f>IF(K259-L258&lt;G256,MAXA(I256,G256+L258-K259),0)</f>
        <v>34</v>
      </c>
      <c r="M260" s="331">
        <f>IF(L259-M258&lt;G256,MAXA(I256,G256+M258-L259),0)</f>
        <v>28</v>
      </c>
      <c r="N260" s="331">
        <f>IF(M259-N258&lt;G256,MAXA(I256,G256+N258-M259),0)</f>
        <v>0</v>
      </c>
    </row>
    <row r="261" spans="1:14" ht="12.75">
      <c r="A261" s="330" t="s">
        <v>83</v>
      </c>
      <c r="B261" s="364">
        <f>ROUND(IF(K256=0,0,(IF(E256=1,SUM(B260:C260),IF(E256=2,SUM(B260:D260),IF(E256=3,SUM(B260:E260),IF(E256=4,SUM(B260:F260),0)))))/K256),0)</f>
        <v>0</v>
      </c>
      <c r="C261" s="331">
        <f aca="true" t="shared" si="52" ref="C261:J261">ROUND(IF($K256=0,0,(IF($E256=1,D260,IF($E256=2,E260,IF($E256=3,F260,IF($E256=4,G260,0)))))/$K256),0)</f>
        <v>14</v>
      </c>
      <c r="D261" s="331">
        <f t="shared" si="52"/>
        <v>26</v>
      </c>
      <c r="E261" s="331">
        <f t="shared" si="52"/>
        <v>34</v>
      </c>
      <c r="F261" s="331">
        <f t="shared" si="52"/>
        <v>34</v>
      </c>
      <c r="G261" s="331">
        <f t="shared" si="52"/>
        <v>28</v>
      </c>
      <c r="H261" s="331">
        <f t="shared" si="52"/>
        <v>40</v>
      </c>
      <c r="I261" s="331">
        <f t="shared" si="52"/>
        <v>40</v>
      </c>
      <c r="J261" s="331">
        <f t="shared" si="52"/>
        <v>40</v>
      </c>
      <c r="K261" s="331">
        <f>IF($K256=0,0,IF($E256=1,L260/$K256,IF($E256=2,M260/$K256,IF($E256=3,N260/$K256,0))))</f>
        <v>40</v>
      </c>
      <c r="L261" s="331">
        <f>IF($K256=0,0,IF($E256=1,M260/$K256,IF($E256=2,N260/$K256,0)))</f>
        <v>32.94117647058824</v>
      </c>
      <c r="M261" s="331">
        <f>IF($K256=0,0,IF($E256=1,N260/$K256,0))</f>
        <v>0</v>
      </c>
      <c r="N261" s="336"/>
    </row>
    <row r="262" ht="12.75"/>
    <row r="263" spans="2:12" ht="12.75">
      <c r="B263" s="341" t="s">
        <v>43</v>
      </c>
      <c r="C263" s="334">
        <f>'Poliof40 - LIVROB'!$U$941</f>
        <v>78</v>
      </c>
      <c r="D263" s="330" t="s">
        <v>78</v>
      </c>
      <c r="E263" s="444">
        <v>1</v>
      </c>
      <c r="F263" s="330" t="s">
        <v>88</v>
      </c>
      <c r="G263" s="119">
        <v>20</v>
      </c>
      <c r="H263" s="342" t="s">
        <v>67</v>
      </c>
      <c r="I263" s="119">
        <v>1</v>
      </c>
      <c r="J263" s="329" t="s">
        <v>44</v>
      </c>
      <c r="K263" s="335">
        <f>1-'Poliof40 - LIVROB'!$D$561</f>
        <v>0.85</v>
      </c>
      <c r="L263" s="114"/>
    </row>
    <row r="264" spans="1:14" ht="12.75">
      <c r="A264" s="360" t="s">
        <v>95</v>
      </c>
      <c r="B264" s="330" t="s">
        <v>69</v>
      </c>
      <c r="C264" s="330" t="s">
        <v>25</v>
      </c>
      <c r="D264" s="330" t="s">
        <v>26</v>
      </c>
      <c r="E264" s="330" t="s">
        <v>27</v>
      </c>
      <c r="F264" s="330" t="s">
        <v>28</v>
      </c>
      <c r="G264" s="330" t="s">
        <v>47</v>
      </c>
      <c r="H264" s="330" t="s">
        <v>48</v>
      </c>
      <c r="I264" s="330" t="s">
        <v>49</v>
      </c>
      <c r="J264" s="330" t="s">
        <v>50</v>
      </c>
      <c r="K264" s="330" t="s">
        <v>51</v>
      </c>
      <c r="L264" s="330" t="s">
        <v>52</v>
      </c>
      <c r="M264" s="330" t="s">
        <v>53</v>
      </c>
      <c r="N264" s="330" t="s">
        <v>54</v>
      </c>
    </row>
    <row r="265" spans="1:14" ht="12.75">
      <c r="A265" s="330" t="s">
        <v>70</v>
      </c>
      <c r="B265" s="336">
        <f aca="true" t="shared" si="53" ref="B265:N265">B179</f>
        <v>0</v>
      </c>
      <c r="C265" s="331">
        <f t="shared" si="53"/>
        <v>34</v>
      </c>
      <c r="D265" s="331">
        <f t="shared" si="53"/>
        <v>39</v>
      </c>
      <c r="E265" s="331">
        <f t="shared" si="53"/>
        <v>33</v>
      </c>
      <c r="F265" s="331">
        <f t="shared" si="53"/>
        <v>62</v>
      </c>
      <c r="G265" s="331">
        <f t="shared" si="53"/>
        <v>53</v>
      </c>
      <c r="H265" s="331">
        <f t="shared" si="53"/>
        <v>55</v>
      </c>
      <c r="I265" s="331">
        <f t="shared" si="53"/>
        <v>47</v>
      </c>
      <c r="J265" s="331">
        <f t="shared" si="53"/>
        <v>73</v>
      </c>
      <c r="K265" s="331">
        <f t="shared" si="53"/>
        <v>61</v>
      </c>
      <c r="L265" s="331">
        <f t="shared" si="53"/>
        <v>56</v>
      </c>
      <c r="M265" s="331">
        <f t="shared" si="53"/>
        <v>48</v>
      </c>
      <c r="N265" s="331">
        <f t="shared" si="53"/>
        <v>0</v>
      </c>
    </row>
    <row r="266" spans="1:14" ht="12.75">
      <c r="A266" s="330" t="s">
        <v>72</v>
      </c>
      <c r="B266" s="331">
        <f>C263+B267-B265</f>
        <v>78</v>
      </c>
      <c r="C266" s="331">
        <f aca="true" t="shared" si="54" ref="C266:N266">B266+C267-C265</f>
        <v>44</v>
      </c>
      <c r="D266" s="331">
        <f t="shared" si="54"/>
        <v>20</v>
      </c>
      <c r="E266" s="331">
        <f t="shared" si="54"/>
        <v>20</v>
      </c>
      <c r="F266" s="331">
        <f t="shared" si="54"/>
        <v>20</v>
      </c>
      <c r="G266" s="331">
        <f t="shared" si="54"/>
        <v>20</v>
      </c>
      <c r="H266" s="331">
        <f t="shared" si="54"/>
        <v>20</v>
      </c>
      <c r="I266" s="331">
        <f t="shared" si="54"/>
        <v>20</v>
      </c>
      <c r="J266" s="331">
        <f t="shared" si="54"/>
        <v>20</v>
      </c>
      <c r="K266" s="331">
        <f t="shared" si="54"/>
        <v>20</v>
      </c>
      <c r="L266" s="331">
        <f t="shared" si="54"/>
        <v>20</v>
      </c>
      <c r="M266" s="331">
        <f t="shared" si="54"/>
        <v>20</v>
      </c>
      <c r="N266" s="331">
        <f t="shared" si="54"/>
        <v>20</v>
      </c>
    </row>
    <row r="267" spans="1:14" ht="12.75">
      <c r="A267" s="330" t="s">
        <v>82</v>
      </c>
      <c r="B267" s="364">
        <f>IF(C263-B265&lt;G263,MAXA(I263,G263+B265-C263),0)</f>
        <v>0</v>
      </c>
      <c r="C267" s="331">
        <f>IF(B266-C265&lt;G263,MAXA(I263,G263+C265-B266),0)</f>
        <v>0</v>
      </c>
      <c r="D267" s="331">
        <f>IF(C266-D265&lt;G263,MAXA(I263,G263+D265-C266),0)</f>
        <v>15</v>
      </c>
      <c r="E267" s="331">
        <f>IF(D266-E265&lt;G263,MAXA(I263,G263+E265-D266),0)</f>
        <v>33</v>
      </c>
      <c r="F267" s="331">
        <f>IF(E266-F265&lt;G263,MAXA(I263,G263+F265-E266),0)</f>
        <v>62</v>
      </c>
      <c r="G267" s="331">
        <f>IF(F266-G265&lt;G263,MAXA(I263,G263+G265-F266),0)</f>
        <v>53</v>
      </c>
      <c r="H267" s="331">
        <f>IF(G266-H265&lt;G263,MAXA(I263,G263+H265-G266),0)</f>
        <v>55</v>
      </c>
      <c r="I267" s="331">
        <f>IF(H266-I265&lt;G263,MAXA(I263,G263+I265-H266),0)</f>
        <v>47</v>
      </c>
      <c r="J267" s="331">
        <f>IF(I266-J265&lt;G263,MAXA(I263,G263+J265-I266),0)</f>
        <v>73</v>
      </c>
      <c r="K267" s="331">
        <f>IF(J266-K265&lt;G263,MAXA(I263,G263+K265-J266),0)</f>
        <v>61</v>
      </c>
      <c r="L267" s="331">
        <f>IF(K266-L265&lt;G263,MAXA(I263,G263+L265-K266),0)</f>
        <v>56</v>
      </c>
      <c r="M267" s="331">
        <f>IF(L266-M265&lt;G263,MAXA(I263,G263+M265-L266),0)</f>
        <v>48</v>
      </c>
      <c r="N267" s="331">
        <f>IF(M266-N265&lt;G263,MAXA(I263,G263+N265-M266),0)</f>
        <v>0</v>
      </c>
    </row>
    <row r="268" spans="1:14" ht="12.75">
      <c r="A268" s="330" t="s">
        <v>83</v>
      </c>
      <c r="B268" s="364">
        <f>ROUND(IF(K263=0,0,(IF(E263=1,SUM(B267:C267),IF(E263=2,SUM(B267:D267),IF(E263=3,SUM(B267:E267),IF(E263=4,SUM(B267:F267),0)))))/K263),0)</f>
        <v>0</v>
      </c>
      <c r="C268" s="331">
        <f aca="true" t="shared" si="55" ref="C268:J268">ROUND(IF($K263=0,0,(IF($E263=1,D267,IF($E263=2,E267,IF($E263=3,F267,IF($E263=4,G267,0)))))/$K263),0)</f>
        <v>18</v>
      </c>
      <c r="D268" s="331">
        <f t="shared" si="55"/>
        <v>39</v>
      </c>
      <c r="E268" s="331">
        <f t="shared" si="55"/>
        <v>73</v>
      </c>
      <c r="F268" s="331">
        <f t="shared" si="55"/>
        <v>62</v>
      </c>
      <c r="G268" s="331">
        <f t="shared" si="55"/>
        <v>65</v>
      </c>
      <c r="H268" s="331">
        <f t="shared" si="55"/>
        <v>55</v>
      </c>
      <c r="I268" s="331">
        <f t="shared" si="55"/>
        <v>86</v>
      </c>
      <c r="J268" s="331">
        <f t="shared" si="55"/>
        <v>72</v>
      </c>
      <c r="K268" s="331">
        <f>IF($K263=0,0,IF($E263=1,L267/$K263,IF($E263=2,M267/$K263,IF($E263=3,N267/$K263,0))))</f>
        <v>65.88235294117648</v>
      </c>
      <c r="L268" s="331">
        <f>IF($K263=0,0,IF($E263=1,M267/$K263,IF($E263=2,N267/$K263,0)))</f>
        <v>56.470588235294116</v>
      </c>
      <c r="M268" s="331">
        <f>IF($K263=0,0,IF($E263=1,N267/$K263,0))</f>
        <v>0</v>
      </c>
      <c r="N268" s="336"/>
    </row>
    <row r="269" ht="12.75"/>
    <row r="270" spans="2:12" ht="12.75">
      <c r="B270" s="341" t="s">
        <v>43</v>
      </c>
      <c r="C270" s="334">
        <f>'Poliof40 - LIVROB'!$V$941</f>
        <v>57</v>
      </c>
      <c r="D270" s="330" t="s">
        <v>78</v>
      </c>
      <c r="E270" s="444">
        <v>1</v>
      </c>
      <c r="F270" s="330" t="s">
        <v>66</v>
      </c>
      <c r="G270" s="119">
        <v>20</v>
      </c>
      <c r="H270" s="342" t="s">
        <v>67</v>
      </c>
      <c r="I270" s="119">
        <v>1</v>
      </c>
      <c r="J270" s="329" t="s">
        <v>44</v>
      </c>
      <c r="K270" s="335">
        <f>1-'Poliof40 - LIVROB'!$D$562</f>
        <v>0.85</v>
      </c>
      <c r="L270" s="114"/>
    </row>
    <row r="271" spans="1:14" ht="12.75">
      <c r="A271" s="360" t="s">
        <v>96</v>
      </c>
      <c r="B271" s="330" t="s">
        <v>69</v>
      </c>
      <c r="C271" s="330" t="s">
        <v>25</v>
      </c>
      <c r="D271" s="330" t="s">
        <v>26</v>
      </c>
      <c r="E271" s="330" t="s">
        <v>27</v>
      </c>
      <c r="F271" s="330" t="s">
        <v>28</v>
      </c>
      <c r="G271" s="330" t="s">
        <v>47</v>
      </c>
      <c r="H271" s="330" t="s">
        <v>48</v>
      </c>
      <c r="I271" s="330" t="s">
        <v>49</v>
      </c>
      <c r="J271" s="330" t="s">
        <v>50</v>
      </c>
      <c r="K271" s="330" t="s">
        <v>51</v>
      </c>
      <c r="L271" s="330" t="s">
        <v>52</v>
      </c>
      <c r="M271" s="330" t="s">
        <v>53</v>
      </c>
      <c r="N271" s="330" t="s">
        <v>54</v>
      </c>
    </row>
    <row r="272" spans="1:14" ht="12.75">
      <c r="A272" s="330" t="s">
        <v>70</v>
      </c>
      <c r="B272" s="336">
        <f>B186+B193</f>
        <v>0</v>
      </c>
      <c r="C272" s="331">
        <f aca="true" t="shared" si="56" ref="C272:N272">C186+C193+C120</f>
        <v>27</v>
      </c>
      <c r="D272" s="331">
        <f t="shared" si="56"/>
        <v>23</v>
      </c>
      <c r="E272" s="331">
        <f t="shared" si="56"/>
        <v>23</v>
      </c>
      <c r="F272" s="331">
        <f t="shared" si="56"/>
        <v>31</v>
      </c>
      <c r="G272" s="331">
        <f t="shared" si="56"/>
        <v>31</v>
      </c>
      <c r="H272" s="331">
        <f t="shared" si="56"/>
        <v>25</v>
      </c>
      <c r="I272" s="331">
        <f t="shared" si="56"/>
        <v>36</v>
      </c>
      <c r="J272" s="331">
        <f t="shared" si="56"/>
        <v>36</v>
      </c>
      <c r="K272" s="331">
        <f t="shared" si="56"/>
        <v>36</v>
      </c>
      <c r="L272" s="331">
        <f t="shared" si="56"/>
        <v>36</v>
      </c>
      <c r="M272" s="331">
        <f t="shared" si="56"/>
        <v>30</v>
      </c>
      <c r="N272" s="331">
        <f t="shared" si="56"/>
        <v>0</v>
      </c>
    </row>
    <row r="273" spans="1:14" ht="12.75">
      <c r="A273" s="330" t="s">
        <v>72</v>
      </c>
      <c r="B273" s="331">
        <f>C270+B274-B272</f>
        <v>57</v>
      </c>
      <c r="C273" s="331">
        <f aca="true" t="shared" si="57" ref="C273:N273">B273+C274-C272</f>
        <v>30</v>
      </c>
      <c r="D273" s="331">
        <f t="shared" si="57"/>
        <v>20</v>
      </c>
      <c r="E273" s="331">
        <f t="shared" si="57"/>
        <v>20</v>
      </c>
      <c r="F273" s="331">
        <f t="shared" si="57"/>
        <v>20</v>
      </c>
      <c r="G273" s="331">
        <f t="shared" si="57"/>
        <v>20</v>
      </c>
      <c r="H273" s="331">
        <f t="shared" si="57"/>
        <v>20</v>
      </c>
      <c r="I273" s="331">
        <f t="shared" si="57"/>
        <v>20</v>
      </c>
      <c r="J273" s="331">
        <f t="shared" si="57"/>
        <v>20</v>
      </c>
      <c r="K273" s="331">
        <f t="shared" si="57"/>
        <v>20</v>
      </c>
      <c r="L273" s="331">
        <f t="shared" si="57"/>
        <v>20</v>
      </c>
      <c r="M273" s="331">
        <f t="shared" si="57"/>
        <v>20</v>
      </c>
      <c r="N273" s="331">
        <f t="shared" si="57"/>
        <v>20</v>
      </c>
    </row>
    <row r="274" spans="1:14" ht="12.75">
      <c r="A274" s="330" t="s">
        <v>82</v>
      </c>
      <c r="B274" s="364">
        <f>IF(C270-B272&lt;G270,MAXA(I270,G270+B272-C270),0)</f>
        <v>0</v>
      </c>
      <c r="C274" s="331">
        <f>IF(B273-C272&lt;G270,MAXA(I270,G270+C272-B273),0)</f>
        <v>0</v>
      </c>
      <c r="D274" s="331">
        <f>IF(C273-D272&lt;G270,MAXA(I270,G270+D272-C273),0)</f>
        <v>13</v>
      </c>
      <c r="E274" s="331">
        <f>IF(D273-E272&lt;G270,MAXA(I270,G270+E272-D273),0)</f>
        <v>23</v>
      </c>
      <c r="F274" s="331">
        <f>IF(E273-F272&lt;G270,MAXA(I270,G270+F272-E273),0)</f>
        <v>31</v>
      </c>
      <c r="G274" s="331">
        <f>IF(F273-G272&lt;G270,MAXA(I270,G270+G272-F273),0)</f>
        <v>31</v>
      </c>
      <c r="H274" s="331">
        <f>IF(G273-H272&lt;G270,MAXA(I270,G270+H272-G273),0)</f>
        <v>25</v>
      </c>
      <c r="I274" s="331">
        <f>IF(H273-I272&lt;G270,MAXA(I270,G270+I272-H273),0)</f>
        <v>36</v>
      </c>
      <c r="J274" s="331">
        <f>IF(I273-J272&lt;G270,MAXA(I270,G270+J272-I273),0)</f>
        <v>36</v>
      </c>
      <c r="K274" s="331">
        <f>IF(J273-K272&lt;G270,MAXA(I270,G270+K272-J273),0)</f>
        <v>36</v>
      </c>
      <c r="L274" s="331">
        <f>IF(K273-L272&lt;G270,MAXA(I270,G270+L272-K273),0)</f>
        <v>36</v>
      </c>
      <c r="M274" s="331">
        <f>IF(L273-M272&lt;G270,MAXA(I270,G270+M272-L273),0)</f>
        <v>30</v>
      </c>
      <c r="N274" s="331">
        <f>IF(M273-N272&lt;G270,MAXA(I270,G270+N272-M273),0)</f>
        <v>0</v>
      </c>
    </row>
    <row r="275" spans="1:14" ht="12.75">
      <c r="A275" s="330" t="s">
        <v>83</v>
      </c>
      <c r="B275" s="364">
        <f>ROUND(IF(K270=0,0,(IF(E270=1,SUM(B274:C274),IF(E270=2,SUM(B274:D274),IF(E270=3,SUM(B274:E274),IF(E270=4,SUM(B274:F274),0)))))/K270),0)</f>
        <v>0</v>
      </c>
      <c r="C275" s="331">
        <f aca="true" t="shared" si="58" ref="C275:J275">ROUND(IF($K270=0,0,(IF($E270=1,D274,IF($E270=2,E274,IF($E270=3,F274,IF($E270=4,G274,0)))))/$K270),0)</f>
        <v>15</v>
      </c>
      <c r="D275" s="331">
        <f t="shared" si="58"/>
        <v>27</v>
      </c>
      <c r="E275" s="331">
        <f t="shared" si="58"/>
        <v>36</v>
      </c>
      <c r="F275" s="331">
        <f t="shared" si="58"/>
        <v>36</v>
      </c>
      <c r="G275" s="331">
        <f t="shared" si="58"/>
        <v>29</v>
      </c>
      <c r="H275" s="331">
        <f t="shared" si="58"/>
        <v>42</v>
      </c>
      <c r="I275" s="331">
        <f t="shared" si="58"/>
        <v>42</v>
      </c>
      <c r="J275" s="331">
        <f t="shared" si="58"/>
        <v>42</v>
      </c>
      <c r="K275" s="331">
        <f>IF($K270=0,0,IF($E270=1,L274/$K270,IF($E270=2,M274/$K270,IF($E270=3,N274/$K270,0))))</f>
        <v>42.35294117647059</v>
      </c>
      <c r="L275" s="331">
        <f>IF($K270=0,0,IF($E270=1,M274/$K270,IF($E270=2,N274/$K270,0)))</f>
        <v>35.294117647058826</v>
      </c>
      <c r="M275" s="331">
        <f>IF($K270=0,0,IF($E270=1,N274/$K270,0))</f>
        <v>0</v>
      </c>
      <c r="N275" s="336"/>
    </row>
    <row r="276" ht="12.75"/>
    <row r="277" spans="2:12" ht="12.75">
      <c r="B277" s="341" t="s">
        <v>43</v>
      </c>
      <c r="C277" s="334">
        <f>'Poliof40 - LIVROB'!$W$941</f>
        <v>97</v>
      </c>
      <c r="D277" s="330" t="s">
        <v>78</v>
      </c>
      <c r="E277" s="444">
        <v>1</v>
      </c>
      <c r="F277" s="329" t="s">
        <v>66</v>
      </c>
      <c r="G277" s="119">
        <v>30</v>
      </c>
      <c r="H277" s="342" t="s">
        <v>67</v>
      </c>
      <c r="I277" s="119">
        <v>1</v>
      </c>
      <c r="J277" s="329" t="s">
        <v>44</v>
      </c>
      <c r="K277" s="335">
        <f>1-'Poliof40 - LIVROB'!$D$563</f>
        <v>0.85</v>
      </c>
      <c r="L277" s="114"/>
    </row>
    <row r="278" spans="1:14" ht="12.75">
      <c r="A278" s="360" t="s">
        <v>97</v>
      </c>
      <c r="B278" s="330" t="s">
        <v>69</v>
      </c>
      <c r="C278" s="330" t="s">
        <v>25</v>
      </c>
      <c r="D278" s="330" t="s">
        <v>26</v>
      </c>
      <c r="E278" s="330" t="s">
        <v>27</v>
      </c>
      <c r="F278" s="330" t="s">
        <v>28</v>
      </c>
      <c r="G278" s="330" t="s">
        <v>47</v>
      </c>
      <c r="H278" s="330" t="s">
        <v>48</v>
      </c>
      <c r="I278" s="330" t="s">
        <v>49</v>
      </c>
      <c r="J278" s="330" t="s">
        <v>50</v>
      </c>
      <c r="K278" s="330" t="s">
        <v>51</v>
      </c>
      <c r="L278" s="330" t="s">
        <v>52</v>
      </c>
      <c r="M278" s="330" t="s">
        <v>53</v>
      </c>
      <c r="N278" s="330" t="s">
        <v>54</v>
      </c>
    </row>
    <row r="279" spans="1:14" ht="12.75">
      <c r="A279" s="330" t="s">
        <v>70</v>
      </c>
      <c r="B279" s="336">
        <f>B200+B207+B214</f>
        <v>0</v>
      </c>
      <c r="C279" s="331">
        <f aca="true" t="shared" si="59" ref="C279:N279">C200+C207+C214+C127</f>
        <v>51</v>
      </c>
      <c r="D279" s="331">
        <f t="shared" si="59"/>
        <v>52</v>
      </c>
      <c r="E279" s="331">
        <f t="shared" si="59"/>
        <v>46</v>
      </c>
      <c r="F279" s="331">
        <f t="shared" si="59"/>
        <v>76</v>
      </c>
      <c r="G279" s="331">
        <f t="shared" si="59"/>
        <v>67</v>
      </c>
      <c r="H279" s="331">
        <f t="shared" si="59"/>
        <v>77</v>
      </c>
      <c r="I279" s="331">
        <f t="shared" si="59"/>
        <v>70</v>
      </c>
      <c r="J279" s="331">
        <f t="shared" si="59"/>
        <v>96</v>
      </c>
      <c r="K279" s="331">
        <f t="shared" si="59"/>
        <v>84</v>
      </c>
      <c r="L279" s="331">
        <f t="shared" si="59"/>
        <v>78</v>
      </c>
      <c r="M279" s="331">
        <f t="shared" si="59"/>
        <v>71</v>
      </c>
      <c r="N279" s="331">
        <f t="shared" si="59"/>
        <v>0</v>
      </c>
    </row>
    <row r="280" spans="1:14" ht="12.75">
      <c r="A280" s="330" t="s">
        <v>72</v>
      </c>
      <c r="B280" s="331">
        <f>C277+B281-B279</f>
        <v>97</v>
      </c>
      <c r="C280" s="331">
        <f aca="true" t="shared" si="60" ref="C280:N280">B280+C281-C279</f>
        <v>46</v>
      </c>
      <c r="D280" s="331">
        <f t="shared" si="60"/>
        <v>30</v>
      </c>
      <c r="E280" s="331">
        <f t="shared" si="60"/>
        <v>30</v>
      </c>
      <c r="F280" s="331">
        <f t="shared" si="60"/>
        <v>30</v>
      </c>
      <c r="G280" s="331">
        <f t="shared" si="60"/>
        <v>30</v>
      </c>
      <c r="H280" s="331">
        <f t="shared" si="60"/>
        <v>30</v>
      </c>
      <c r="I280" s="331">
        <f t="shared" si="60"/>
        <v>30</v>
      </c>
      <c r="J280" s="331">
        <f t="shared" si="60"/>
        <v>30</v>
      </c>
      <c r="K280" s="331">
        <f t="shared" si="60"/>
        <v>30</v>
      </c>
      <c r="L280" s="331">
        <f t="shared" si="60"/>
        <v>30</v>
      </c>
      <c r="M280" s="331">
        <f t="shared" si="60"/>
        <v>30</v>
      </c>
      <c r="N280" s="331">
        <f t="shared" si="60"/>
        <v>30</v>
      </c>
    </row>
    <row r="281" spans="1:14" ht="12.75">
      <c r="A281" s="330" t="s">
        <v>82</v>
      </c>
      <c r="B281" s="364">
        <f>IF(C277-B279&lt;G277,MAXA(I277,G277+B279-C277),0)</f>
        <v>0</v>
      </c>
      <c r="C281" s="331">
        <f>IF(B280-C279&lt;G277,MAXA(I277,G277+C279-B280),0)</f>
        <v>0</v>
      </c>
      <c r="D281" s="331">
        <f>IF(C280-D279&lt;G277,MAXA(I277,G277+D279-C280),0)</f>
        <v>36</v>
      </c>
      <c r="E281" s="331">
        <f>IF(D280-E279&lt;G277,MAXA(I277,G277+E279-D280),0)</f>
        <v>46</v>
      </c>
      <c r="F281" s="331">
        <f>IF(E280-F279&lt;G277,MAXA(I277,G277+F279-E280),0)</f>
        <v>76</v>
      </c>
      <c r="G281" s="331">
        <f>IF(F280-G279&lt;G277,MAXA(I277,G277+G279-F280),0)</f>
        <v>67</v>
      </c>
      <c r="H281" s="331">
        <f>IF(G280-H279&lt;G277,MAXA(I277,G277+H279-G280),0)</f>
        <v>77</v>
      </c>
      <c r="I281" s="331">
        <f>IF(H280-I279&lt;G277,MAXA(I277,G277+I279-H280),0)</f>
        <v>70</v>
      </c>
      <c r="J281" s="331">
        <f>IF(I280-J279&lt;G277,MAXA(I277,G277+J279-I280),0)</f>
        <v>96</v>
      </c>
      <c r="K281" s="331">
        <f>IF(J280-K279&lt;G277,MAXA(I277,G277+K279-J280),0)</f>
        <v>84</v>
      </c>
      <c r="L281" s="331">
        <f>IF(K280-L279&lt;G277,MAXA(I277,G277+L279-K280),0)</f>
        <v>78</v>
      </c>
      <c r="M281" s="331">
        <f>IF(L280-M279&lt;G277,MAXA(I277,G277+M279-L280),0)</f>
        <v>71</v>
      </c>
      <c r="N281" s="331">
        <f>IF(M280-N279&lt;G277,MAXA(I277,G277+N279-M280),0)</f>
        <v>0</v>
      </c>
    </row>
    <row r="282" spans="1:14" ht="12.75">
      <c r="A282" s="330" t="s">
        <v>83</v>
      </c>
      <c r="B282" s="364">
        <f>ROUND(IF(K277=0,0,(IF(E277=1,SUM(B281:C281),IF(E277=2,SUM(B281:D281),IF(E277=3,SUM(B281:E281),IF(E277=4,SUM(B281:F281),0)))))/K277),0)</f>
        <v>0</v>
      </c>
      <c r="C282" s="331">
        <f aca="true" t="shared" si="61" ref="C282:J282">ROUND(IF($K277=0,0,(IF($E277=1,D281,IF($E277=2,E281,IF($E277=3,F281,IF($E277=4,G281,0)))))/$K277),0)</f>
        <v>42</v>
      </c>
      <c r="D282" s="331">
        <f t="shared" si="61"/>
        <v>54</v>
      </c>
      <c r="E282" s="331">
        <f t="shared" si="61"/>
        <v>89</v>
      </c>
      <c r="F282" s="331">
        <f t="shared" si="61"/>
        <v>79</v>
      </c>
      <c r="G282" s="331">
        <f t="shared" si="61"/>
        <v>91</v>
      </c>
      <c r="H282" s="331">
        <f t="shared" si="61"/>
        <v>82</v>
      </c>
      <c r="I282" s="331">
        <f t="shared" si="61"/>
        <v>113</v>
      </c>
      <c r="J282" s="331">
        <f t="shared" si="61"/>
        <v>99</v>
      </c>
      <c r="K282" s="331">
        <f>IF($K277=0,0,IF($E277=1,L281/$K277,IF($E277=2,M281/$K277,IF($E277=3,N281/$K277,0))))</f>
        <v>91.76470588235294</v>
      </c>
      <c r="L282" s="331">
        <f>IF($K277=0,0,IF($E277=1,M281/$K277,IF($E277=2,N281/$K277,0)))</f>
        <v>83.52941176470588</v>
      </c>
      <c r="M282" s="331">
        <f>IF($K277=0,0,IF($E277=1,N281/$K277,0))</f>
        <v>0</v>
      </c>
      <c r="N282" s="336"/>
    </row>
    <row r="283" ht="12.75"/>
    <row r="284" spans="2:12" ht="12.75">
      <c r="B284" s="341" t="s">
        <v>43</v>
      </c>
      <c r="C284" s="334">
        <f>'Poliof40 - LIVROB'!$X$941</f>
        <v>174</v>
      </c>
      <c r="D284" s="330" t="s">
        <v>65</v>
      </c>
      <c r="E284" s="334">
        <f>'Poliof40 - LIVROB'!$E$581</f>
        <v>3</v>
      </c>
      <c r="F284" s="330" t="s">
        <v>66</v>
      </c>
      <c r="G284" s="119">
        <v>50</v>
      </c>
      <c r="H284" s="342" t="s">
        <v>67</v>
      </c>
      <c r="I284" s="119">
        <v>100</v>
      </c>
      <c r="J284" s="329" t="s">
        <v>44</v>
      </c>
      <c r="K284" s="335">
        <f>1-'Poliof40 - LIVROB'!$D$581</f>
        <v>0.95</v>
      </c>
      <c r="L284" s="114"/>
    </row>
    <row r="285" spans="1:14" ht="12.75">
      <c r="A285" s="360" t="s">
        <v>98</v>
      </c>
      <c r="B285" s="330" t="s">
        <v>69</v>
      </c>
      <c r="C285" s="330" t="s">
        <v>25</v>
      </c>
      <c r="D285" s="330" t="s">
        <v>26</v>
      </c>
      <c r="E285" s="330" t="s">
        <v>27</v>
      </c>
      <c r="F285" s="330" t="s">
        <v>28</v>
      </c>
      <c r="G285" s="330" t="s">
        <v>47</v>
      </c>
      <c r="H285" s="330" t="s">
        <v>48</v>
      </c>
      <c r="I285" s="330" t="s">
        <v>49</v>
      </c>
      <c r="J285" s="330" t="s">
        <v>50</v>
      </c>
      <c r="K285" s="330" t="s">
        <v>51</v>
      </c>
      <c r="L285" s="330" t="s">
        <v>52</v>
      </c>
      <c r="M285" s="330" t="s">
        <v>53</v>
      </c>
      <c r="N285" s="330" t="s">
        <v>54</v>
      </c>
    </row>
    <row r="286" spans="1:14" ht="12.75">
      <c r="A286" s="330" t="s">
        <v>70</v>
      </c>
      <c r="B286" s="331">
        <f aca="true" t="shared" si="62" ref="B286:N286">0.25*(B261+B275)+0.125*(B268+B282)</f>
        <v>0</v>
      </c>
      <c r="C286" s="331">
        <f t="shared" si="62"/>
        <v>14.75</v>
      </c>
      <c r="D286" s="331">
        <f t="shared" si="62"/>
        <v>24.875</v>
      </c>
      <c r="E286" s="331">
        <f t="shared" si="62"/>
        <v>37.75</v>
      </c>
      <c r="F286" s="331">
        <f t="shared" si="62"/>
        <v>35.125</v>
      </c>
      <c r="G286" s="331">
        <f t="shared" si="62"/>
        <v>33.75</v>
      </c>
      <c r="H286" s="331">
        <f t="shared" si="62"/>
        <v>37.625</v>
      </c>
      <c r="I286" s="331">
        <f t="shared" si="62"/>
        <v>45.375</v>
      </c>
      <c r="J286" s="331">
        <f t="shared" si="62"/>
        <v>41.875</v>
      </c>
      <c r="K286" s="331">
        <f t="shared" si="62"/>
        <v>40.294117647058826</v>
      </c>
      <c r="L286" s="331">
        <f t="shared" si="62"/>
        <v>34.55882352941177</v>
      </c>
      <c r="M286" s="331">
        <f t="shared" si="62"/>
        <v>0</v>
      </c>
      <c r="N286" s="331">
        <f t="shared" si="62"/>
        <v>0</v>
      </c>
    </row>
    <row r="287" spans="1:14" ht="12.75">
      <c r="A287" s="330" t="s">
        <v>71</v>
      </c>
      <c r="B287" s="336"/>
      <c r="C287" s="331">
        <f>'Poliof40 - LIVROB'!$B$952</f>
        <v>0</v>
      </c>
      <c r="D287" s="331">
        <f>'Poliof40 - LIVROB'!$C$952</f>
        <v>0</v>
      </c>
      <c r="E287" s="331">
        <f>'Poliof40 - LIVROB'!$D$952</f>
        <v>0</v>
      </c>
      <c r="F287" s="331">
        <f>'Poliof40 - LIVROB'!$E$952</f>
        <v>0</v>
      </c>
      <c r="G287" s="331">
        <f>'Poliof40 - LIVROB'!$F$952</f>
        <v>0</v>
      </c>
      <c r="H287" s="331">
        <f>'Poliof40 - LIVROB'!$G$952</f>
        <v>0</v>
      </c>
      <c r="I287" s="331">
        <f>'Poliof40 - LIVROB'!$H$952</f>
        <v>0</v>
      </c>
      <c r="J287" s="331">
        <f>'Poliof40 - LIVROB'!$I$952</f>
        <v>0</v>
      </c>
      <c r="K287" s="336">
        <v>0</v>
      </c>
      <c r="L287" s="336">
        <v>0</v>
      </c>
      <c r="M287" s="336">
        <v>0</v>
      </c>
      <c r="N287" s="336">
        <v>0</v>
      </c>
    </row>
    <row r="288" spans="1:14" ht="12.75">
      <c r="A288" s="330" t="s">
        <v>72</v>
      </c>
      <c r="B288" s="331">
        <f>C284+B287+B289-B286</f>
        <v>174</v>
      </c>
      <c r="C288" s="331">
        <f aca="true" t="shared" si="63" ref="C288:N288">B288+C289-C286+C287</f>
        <v>159.25</v>
      </c>
      <c r="D288" s="331">
        <f t="shared" si="63"/>
        <v>134.375</v>
      </c>
      <c r="E288" s="331">
        <f t="shared" si="63"/>
        <v>96.625</v>
      </c>
      <c r="F288" s="331">
        <f t="shared" si="63"/>
        <v>61.5</v>
      </c>
      <c r="G288" s="331">
        <f t="shared" si="63"/>
        <v>127.75</v>
      </c>
      <c r="H288" s="331">
        <f t="shared" si="63"/>
        <v>90.125</v>
      </c>
      <c r="I288" s="331">
        <f t="shared" si="63"/>
        <v>144.75</v>
      </c>
      <c r="J288" s="331">
        <f t="shared" si="63"/>
        <v>102.875</v>
      </c>
      <c r="K288" s="331">
        <f t="shared" si="63"/>
        <v>62.580882352941174</v>
      </c>
      <c r="L288" s="331">
        <f t="shared" si="63"/>
        <v>128.0220588235294</v>
      </c>
      <c r="M288" s="331">
        <f t="shared" si="63"/>
        <v>128.0220588235294</v>
      </c>
      <c r="N288" s="331">
        <f t="shared" si="63"/>
        <v>128.0220588235294</v>
      </c>
    </row>
    <row r="289" spans="1:14" ht="12.75">
      <c r="A289" s="330" t="s">
        <v>73</v>
      </c>
      <c r="B289" s="364">
        <f>IF(C284+B287-B286&lt;G284,MAXA(I284,G284+B286-C284-B287),0)</f>
        <v>0</v>
      </c>
      <c r="C289" s="331">
        <f>IF(B288+C287-C286&lt;G284,MAXA(I284,G284+C286-C287-B288),0)</f>
        <v>0</v>
      </c>
      <c r="D289" s="331">
        <f>IF(C288+D287-D286&lt;G284,MAXA(I284,G284+D286-D287-C288),0)</f>
        <v>0</v>
      </c>
      <c r="E289" s="331">
        <f>IF(D288+E287-E286&lt;G284,MAXA(I284,G284+E286-E287-D288),0)</f>
        <v>0</v>
      </c>
      <c r="F289" s="331">
        <f>IF(E288+F287-F286&lt;G284,MAXA(I284,G284+F286-F287-E288),0)</f>
        <v>0</v>
      </c>
      <c r="G289" s="331">
        <f>IF(F288+G287-G286&lt;G284,MAXA(I284,G284+G286-G287-F288),0)</f>
        <v>100</v>
      </c>
      <c r="H289" s="331">
        <f>IF(G288+H287-H286&lt;G284,MAXA(I284,G284+H286-H287-G288),0)</f>
        <v>0</v>
      </c>
      <c r="I289" s="331">
        <f>IF(H288+I287-I286&lt;G284,MAXA(I284,G284+I286-I287-H288),0)</f>
        <v>100</v>
      </c>
      <c r="J289" s="331">
        <f>IF(I288+J287-J286&lt;G284,MAXA(I284,G284+J286-J287-I288),0)</f>
        <v>0</v>
      </c>
      <c r="K289" s="331">
        <f>IF(J288+K287-K286&lt;G284,MAXA(I284,G284+K286-K287-J288),0)</f>
        <v>0</v>
      </c>
      <c r="L289" s="331">
        <f>IF(K288+L287-L286&lt;G284,MAXA(I284,G284+L286-L287-K288),0)</f>
        <v>100</v>
      </c>
      <c r="M289" s="331">
        <f>IF(L288+M287-M286&lt;G284,MAXA(I284,G284+M286-M287-L288),0)</f>
        <v>0</v>
      </c>
      <c r="N289" s="331">
        <f>IF(M288+N287-N286&lt;G284,MAXA(I284,G284+N286-N287-M288),0)</f>
        <v>0</v>
      </c>
    </row>
    <row r="290" spans="1:14" ht="12.75">
      <c r="A290" s="330" t="s">
        <v>74</v>
      </c>
      <c r="B290" s="364">
        <f>ROUND(IF(K284=0,0,(IF(E284=3,SUM(B289:E289),IF(E284=1,SUM(B289:C289),0)))/K284),0)</f>
        <v>0</v>
      </c>
      <c r="C290" s="331">
        <f>ROUND(IF(K284=0,0,(IF(E284=3,F289,IF(E284=1,D289,0)))/K284),0)</f>
        <v>0</v>
      </c>
      <c r="D290" s="331">
        <f>ROUND(IF(K284=0,0,(IF(E284=3,G289,IF(E284=1,E289,0)))/K284),0)</f>
        <v>105</v>
      </c>
      <c r="E290" s="331">
        <f>ROUND(IF(K284=0,0,(IF(E284=3,H289,IF(E284=1,F289,0)))/K284),0)</f>
        <v>0</v>
      </c>
      <c r="F290" s="331">
        <f>ROUND(IF(K284=0,0,(IF(E284=3,I289,IF(E284=1,G289,0)))/K284),0)</f>
        <v>105</v>
      </c>
      <c r="G290" s="331">
        <f>ROUND(IF(K284=0,0,(IF(E284=3,J289,IF(E284=1,H289,0)))/K284),0)</f>
        <v>0</v>
      </c>
      <c r="H290" s="331">
        <f>ROUND(IF(K284=0,0,(IF(E284=3,K289,IF(E284=1,I289,0)))/K284),0)</f>
        <v>0</v>
      </c>
      <c r="I290" s="331">
        <f>ROUND(IF(K284=0,0,(IF(E284=3,L289,IF(E284=1,J289,0)))/K284),0)</f>
        <v>105</v>
      </c>
      <c r="J290" s="331">
        <f>ROUND(IF(K284=0,0,(IF(E284=3,M289,IF(E284=1,K289,0)))/K284),0)</f>
        <v>0</v>
      </c>
      <c r="K290" s="331">
        <f>ROUND(IF(K284=0,0,(IF(E284=3,N289,IF(E284=1,L289,0)))/K284),0)</f>
        <v>0</v>
      </c>
      <c r="L290" s="331">
        <f>ROUND(IF(K284=0,0,(IF(E284=1,M289,0))/K284),0)</f>
        <v>0</v>
      </c>
      <c r="M290" s="331">
        <f>ROUND(IF(K284=0,0,(IF(E284=1,N289,0))/K284),0)</f>
        <v>0</v>
      </c>
      <c r="N290" s="336"/>
    </row>
    <row r="291" ht="12.75"/>
    <row r="292" ht="13.5" thickBot="1"/>
    <row r="293" spans="1:15" s="116" customFormat="1" ht="14.25" thickBot="1" thickTop="1">
      <c r="A293" s="115"/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227"/>
    </row>
    <row r="294" spans="2:12" ht="21" thickBot="1">
      <c r="B294" s="314" t="s">
        <v>99</v>
      </c>
      <c r="C294" s="315"/>
      <c r="D294" s="316"/>
      <c r="E294" s="316"/>
      <c r="F294" s="317"/>
      <c r="G294" s="317"/>
      <c r="H294" s="317"/>
      <c r="I294" s="317"/>
      <c r="J294" s="317"/>
      <c r="K294" s="317"/>
      <c r="L294" s="318"/>
    </row>
    <row r="295" spans="2:8" ht="12.75">
      <c r="B295" s="17"/>
      <c r="C295" s="17"/>
      <c r="D295" s="17"/>
      <c r="E295" s="17"/>
      <c r="F295" s="17"/>
      <c r="G295" s="17"/>
      <c r="H295" s="18"/>
    </row>
    <row r="296" spans="2:4" ht="15.75">
      <c r="B296" s="155" t="s">
        <v>100</v>
      </c>
      <c r="D296" s="113"/>
    </row>
    <row r="297" spans="4:7" ht="6" customHeight="1">
      <c r="D297" s="17"/>
      <c r="E297" s="17"/>
      <c r="F297" s="17"/>
      <c r="G297" s="18"/>
    </row>
    <row r="298" spans="1:13" ht="12.75" hidden="1">
      <c r="A298" s="363" t="s">
        <v>101</v>
      </c>
      <c r="B298" s="343"/>
      <c r="C298" s="344"/>
      <c r="D298" s="345"/>
      <c r="E298" s="346" t="s">
        <v>102</v>
      </c>
      <c r="F298" s="360">
        <f>'Poliof40 - LIVROB'!$D$699*'Poliof40 - LIVROB'!$D$701*40</f>
        <v>0</v>
      </c>
      <c r="G298" s="345"/>
      <c r="H298" s="345"/>
      <c r="I298" s="345"/>
      <c r="J298" s="345"/>
      <c r="K298" s="345"/>
      <c r="L298" s="345"/>
      <c r="M298" s="347"/>
    </row>
    <row r="299" spans="1:37" ht="12.75" hidden="1">
      <c r="A299" s="348"/>
      <c r="B299" s="277"/>
      <c r="C299" s="330" t="s">
        <v>25</v>
      </c>
      <c r="D299" s="330" t="s">
        <v>26</v>
      </c>
      <c r="E299" s="330" t="s">
        <v>27</v>
      </c>
      <c r="F299" s="330" t="s">
        <v>28</v>
      </c>
      <c r="G299" s="330" t="s">
        <v>47</v>
      </c>
      <c r="H299" s="330" t="s">
        <v>48</v>
      </c>
      <c r="I299" s="330" t="s">
        <v>49</v>
      </c>
      <c r="J299" s="330" t="s">
        <v>50</v>
      </c>
      <c r="K299" s="330" t="s">
        <v>51</v>
      </c>
      <c r="L299" s="330" t="s">
        <v>52</v>
      </c>
      <c r="M299" s="330" t="s">
        <v>53</v>
      </c>
      <c r="N299" s="120"/>
      <c r="AA299" s="114"/>
      <c r="AB299" s="114"/>
      <c r="AC299" s="114"/>
      <c r="AD299" s="114"/>
      <c r="AE299" s="114"/>
      <c r="AF299" s="114"/>
      <c r="AG299" s="114"/>
      <c r="AH299" s="114"/>
      <c r="AI299" s="114"/>
      <c r="AJ299" s="114"/>
      <c r="AK299" s="114"/>
    </row>
    <row r="300" spans="1:37" ht="12.75" hidden="1">
      <c r="A300" s="349" t="s">
        <v>103</v>
      </c>
      <c r="B300" s="350"/>
      <c r="C300" s="331">
        <f>IF('Poliof40 - LIVROB'!$G$510=2,0,SUM(C341:C345))</f>
        <v>0</v>
      </c>
      <c r="D300" s="331">
        <f>IF('Poliof40 - LIVROB'!$G$510=2,0,SUM(D341:D345))</f>
        <v>0</v>
      </c>
      <c r="E300" s="331">
        <f>IF('Poliof40 - LIVROB'!$G$510=2,0,SUM(E341:E345))</f>
        <v>0</v>
      </c>
      <c r="F300" s="331">
        <f>IF('Poliof40 - LIVROB'!$G$510=2,0,SUM(F341:F345))</f>
        <v>0</v>
      </c>
      <c r="G300" s="331">
        <f>IF('Poliof40 - LIVROB'!$G$510=2,0,SUM(G341:G345))</f>
        <v>0</v>
      </c>
      <c r="H300" s="331">
        <f>IF('Poliof40 - LIVROB'!$G$510=2,0,SUM(H341:H345))</f>
        <v>0</v>
      </c>
      <c r="I300" s="331">
        <f>IF('Poliof40 - LIVROB'!$G$510=2,0,SUM(I341:I345))</f>
        <v>0</v>
      </c>
      <c r="J300" s="331">
        <f>IF('Poliof40 - LIVROB'!$G$510=2,0,SUM(J341:J345))</f>
        <v>0</v>
      </c>
      <c r="K300" s="331">
        <f>IF('Poliof40 - LIVROB'!$G$510=2,0,SUM(K341:K345))</f>
        <v>0</v>
      </c>
      <c r="L300" s="331">
        <f>IF('Poliof40 - LIVROB'!$G$510=2,0,SUM(L341:L345))</f>
        <v>0</v>
      </c>
      <c r="M300" s="331">
        <f>IF('Poliof40 - LIVROB'!$G$510=2,0,SUM(M341:M345))</f>
        <v>0</v>
      </c>
      <c r="AA300" s="114"/>
      <c r="AB300" s="114"/>
      <c r="AC300" s="114"/>
      <c r="AD300" s="114"/>
      <c r="AE300" s="114"/>
      <c r="AF300" s="114"/>
      <c r="AG300" s="114"/>
      <c r="AH300" s="114"/>
      <c r="AI300" s="114"/>
      <c r="AJ300" s="114"/>
      <c r="AK300" s="114"/>
    </row>
    <row r="301" spans="1:14" ht="12.75" hidden="1">
      <c r="A301" s="348"/>
      <c r="B301" s="277"/>
      <c r="C301" s="351">
        <f aca="true" t="shared" si="64" ref="C301:M301">IF(C300&gt;$F298,$F298,C300)</f>
        <v>0</v>
      </c>
      <c r="D301" s="351">
        <f t="shared" si="64"/>
        <v>0</v>
      </c>
      <c r="E301" s="351">
        <f t="shared" si="64"/>
        <v>0</v>
      </c>
      <c r="F301" s="351">
        <f t="shared" si="64"/>
        <v>0</v>
      </c>
      <c r="G301" s="351">
        <f t="shared" si="64"/>
        <v>0</v>
      </c>
      <c r="H301" s="351">
        <f t="shared" si="64"/>
        <v>0</v>
      </c>
      <c r="I301" s="351">
        <f t="shared" si="64"/>
        <v>0</v>
      </c>
      <c r="J301" s="351">
        <f t="shared" si="64"/>
        <v>0</v>
      </c>
      <c r="K301" s="351">
        <f t="shared" si="64"/>
        <v>0</v>
      </c>
      <c r="L301" s="351">
        <f t="shared" si="64"/>
        <v>0</v>
      </c>
      <c r="M301" s="351">
        <f t="shared" si="64"/>
        <v>0</v>
      </c>
      <c r="N301" s="210"/>
    </row>
    <row r="302" spans="1:14" ht="12.75" hidden="1">
      <c r="A302" s="348"/>
      <c r="B302" s="277"/>
      <c r="C302" s="351">
        <f aca="true" t="shared" si="65" ref="C302:M302">IF(C300&gt;$F298,C300-$F298,0)</f>
        <v>0</v>
      </c>
      <c r="D302" s="351">
        <f t="shared" si="65"/>
        <v>0</v>
      </c>
      <c r="E302" s="351">
        <f t="shared" si="65"/>
        <v>0</v>
      </c>
      <c r="F302" s="351">
        <f t="shared" si="65"/>
        <v>0</v>
      </c>
      <c r="G302" s="351">
        <f t="shared" si="65"/>
        <v>0</v>
      </c>
      <c r="H302" s="351">
        <f t="shared" si="65"/>
        <v>0</v>
      </c>
      <c r="I302" s="351">
        <f t="shared" si="65"/>
        <v>0</v>
      </c>
      <c r="J302" s="351">
        <f t="shared" si="65"/>
        <v>0</v>
      </c>
      <c r="K302" s="351">
        <f t="shared" si="65"/>
        <v>0</v>
      </c>
      <c r="L302" s="351">
        <f t="shared" si="65"/>
        <v>0</v>
      </c>
      <c r="M302" s="351">
        <f t="shared" si="65"/>
        <v>0</v>
      </c>
      <c r="N302" s="210"/>
    </row>
    <row r="303" ht="6" customHeight="1"/>
    <row r="304" spans="1:13" ht="12.75">
      <c r="A304" s="363" t="s">
        <v>104</v>
      </c>
      <c r="B304" s="343"/>
      <c r="C304" s="345"/>
      <c r="D304" s="345"/>
      <c r="E304" s="346" t="s">
        <v>102</v>
      </c>
      <c r="F304" s="360">
        <f>'Poliof40 - LIVROB'!$D$729*'Poliof40 - LIVROB'!$D$731*40</f>
        <v>40</v>
      </c>
      <c r="G304" s="345"/>
      <c r="H304" s="345"/>
      <c r="I304" s="345"/>
      <c r="J304" s="345"/>
      <c r="K304" s="345"/>
      <c r="L304" s="345"/>
      <c r="M304" s="347"/>
    </row>
    <row r="305" spans="1:37" ht="12.75">
      <c r="A305" s="348"/>
      <c r="B305" s="277"/>
      <c r="C305" s="330" t="s">
        <v>25</v>
      </c>
      <c r="D305" s="330" t="s">
        <v>26</v>
      </c>
      <c r="E305" s="330" t="s">
        <v>27</v>
      </c>
      <c r="F305" s="330" t="s">
        <v>28</v>
      </c>
      <c r="G305" s="330" t="s">
        <v>47</v>
      </c>
      <c r="H305" s="330" t="s">
        <v>48</v>
      </c>
      <c r="I305" s="330" t="s">
        <v>49</v>
      </c>
      <c r="J305" s="330" t="s">
        <v>50</v>
      </c>
      <c r="K305" s="330" t="s">
        <v>51</v>
      </c>
      <c r="L305" s="330" t="s">
        <v>52</v>
      </c>
      <c r="M305" s="330" t="s">
        <v>53</v>
      </c>
      <c r="N305" s="120"/>
      <c r="AA305" s="114"/>
      <c r="AB305" s="114"/>
      <c r="AC305" s="114"/>
      <c r="AD305" s="114"/>
      <c r="AE305" s="114"/>
      <c r="AF305" s="114"/>
      <c r="AG305" s="114"/>
      <c r="AH305" s="114"/>
      <c r="AI305" s="114"/>
      <c r="AJ305" s="114"/>
      <c r="AK305" s="114"/>
    </row>
    <row r="306" spans="1:37" ht="12.75">
      <c r="A306" s="349" t="s">
        <v>103</v>
      </c>
      <c r="B306" s="353"/>
      <c r="C306" s="331">
        <f>IF('Poliof40 - LIVROB'!$G$510=1,0,SUM(C341:C342))</f>
        <v>38.95</v>
      </c>
      <c r="D306" s="331">
        <f>IF('Poliof40 - LIVROB'!$G$510=1,0,SUM(D341:D342))</f>
        <v>38.95</v>
      </c>
      <c r="E306" s="331">
        <f>IF('Poliof40 - LIVROB'!$G$510=1,0,SUM(E341:E342))</f>
        <v>30.950000000000003</v>
      </c>
      <c r="F306" s="331">
        <f>IF('Poliof40 - LIVROB'!$G$510=1,0,SUM(F341:F342))</f>
        <v>30.950000000000003</v>
      </c>
      <c r="G306" s="331">
        <f>IF('Poliof40 - LIVROB'!$G$510=1,0,SUM(G341:G342))</f>
        <v>41.620000000000005</v>
      </c>
      <c r="H306" s="331">
        <f>IF('Poliof40 - LIVROB'!$G$510=1,0,SUM(H341:H342))</f>
        <v>41.620000000000005</v>
      </c>
      <c r="I306" s="331">
        <f>IF('Poliof40 - LIVROB'!$G$510=1,0,SUM(I341:I342))</f>
        <v>33.620000000000005</v>
      </c>
      <c r="J306" s="331">
        <f>IF('Poliof40 - LIVROB'!$G$510=1,0,SUM(J341:J342))</f>
        <v>46.96</v>
      </c>
      <c r="K306" s="331">
        <f>IF('Poliof40 - LIVROB'!$G$510=1,0,SUM(K341:K342))</f>
        <v>46.96</v>
      </c>
      <c r="L306" s="331">
        <f>IF('Poliof40 - LIVROB'!$G$510=1,0,SUM(L341:L342))</f>
        <v>46.96</v>
      </c>
      <c r="M306" s="331">
        <f>IF('Poliof40 - LIVROB'!$G$510=1,0,SUM(M341:M342))</f>
        <v>46.96</v>
      </c>
      <c r="N306" s="15"/>
      <c r="AA306" s="114"/>
      <c r="AB306" s="114"/>
      <c r="AC306" s="114"/>
      <c r="AD306" s="114"/>
      <c r="AE306" s="114"/>
      <c r="AF306" s="114"/>
      <c r="AG306" s="114"/>
      <c r="AH306" s="114"/>
      <c r="AI306" s="114"/>
      <c r="AJ306" s="114"/>
      <c r="AK306" s="114"/>
    </row>
    <row r="307" spans="1:14" ht="12.75" hidden="1">
      <c r="A307" s="348"/>
      <c r="B307" s="277"/>
      <c r="C307" s="351">
        <f aca="true" t="shared" si="66" ref="C307:M307">IF(C306&gt;$F304,$F304,C306)</f>
        <v>38.95</v>
      </c>
      <c r="D307" s="351">
        <f t="shared" si="66"/>
        <v>38.95</v>
      </c>
      <c r="E307" s="351">
        <f t="shared" si="66"/>
        <v>30.950000000000003</v>
      </c>
      <c r="F307" s="351">
        <f t="shared" si="66"/>
        <v>30.950000000000003</v>
      </c>
      <c r="G307" s="351">
        <f t="shared" si="66"/>
        <v>40</v>
      </c>
      <c r="H307" s="351">
        <f t="shared" si="66"/>
        <v>40</v>
      </c>
      <c r="I307" s="351">
        <f t="shared" si="66"/>
        <v>33.620000000000005</v>
      </c>
      <c r="J307" s="351">
        <f t="shared" si="66"/>
        <v>40</v>
      </c>
      <c r="K307" s="351">
        <f t="shared" si="66"/>
        <v>40</v>
      </c>
      <c r="L307" s="351">
        <f t="shared" si="66"/>
        <v>40</v>
      </c>
      <c r="M307" s="351">
        <f t="shared" si="66"/>
        <v>40</v>
      </c>
      <c r="N307" s="210"/>
    </row>
    <row r="308" spans="1:14" ht="12.75" hidden="1">
      <c r="A308" s="348"/>
      <c r="B308" s="277"/>
      <c r="C308" s="351">
        <f aca="true" t="shared" si="67" ref="C308:M308">IF(C306&gt;$F304,C306-$F304,0)</f>
        <v>0</v>
      </c>
      <c r="D308" s="351">
        <f t="shared" si="67"/>
        <v>0</v>
      </c>
      <c r="E308" s="351">
        <f t="shared" si="67"/>
        <v>0</v>
      </c>
      <c r="F308" s="351">
        <f t="shared" si="67"/>
        <v>0</v>
      </c>
      <c r="G308" s="351">
        <f t="shared" si="67"/>
        <v>1.6200000000000045</v>
      </c>
      <c r="H308" s="351">
        <f t="shared" si="67"/>
        <v>1.6200000000000045</v>
      </c>
      <c r="I308" s="351">
        <f t="shared" si="67"/>
        <v>0</v>
      </c>
      <c r="J308" s="351">
        <f t="shared" si="67"/>
        <v>6.960000000000001</v>
      </c>
      <c r="K308" s="351">
        <f t="shared" si="67"/>
        <v>6.960000000000001</v>
      </c>
      <c r="L308" s="351">
        <f t="shared" si="67"/>
        <v>6.960000000000001</v>
      </c>
      <c r="M308" s="351">
        <f t="shared" si="67"/>
        <v>6.960000000000001</v>
      </c>
      <c r="N308" s="210"/>
    </row>
    <row r="309" ht="6" customHeight="1"/>
    <row r="310" spans="1:13" ht="12.75">
      <c r="A310" s="363" t="s">
        <v>105</v>
      </c>
      <c r="B310" s="354"/>
      <c r="C310" s="355"/>
      <c r="D310" s="355"/>
      <c r="E310" s="346" t="s">
        <v>102</v>
      </c>
      <c r="F310" s="360">
        <f>'Poliof40 - LIVROB'!$D$759*'Poliof40 - LIVROB'!$D$761*40</f>
        <v>80</v>
      </c>
      <c r="G310" s="355"/>
      <c r="H310" s="355"/>
      <c r="I310" s="355"/>
      <c r="J310" s="355"/>
      <c r="K310" s="355"/>
      <c r="L310" s="355"/>
      <c r="M310" s="356"/>
    </row>
    <row r="311" spans="1:37" ht="12.75">
      <c r="A311" s="348"/>
      <c r="B311" s="277"/>
      <c r="C311" s="330" t="s">
        <v>25</v>
      </c>
      <c r="D311" s="330" t="s">
        <v>26</v>
      </c>
      <c r="E311" s="330" t="s">
        <v>27</v>
      </c>
      <c r="F311" s="330" t="s">
        <v>28</v>
      </c>
      <c r="G311" s="330" t="s">
        <v>47</v>
      </c>
      <c r="H311" s="330" t="s">
        <v>48</v>
      </c>
      <c r="I311" s="330" t="s">
        <v>49</v>
      </c>
      <c r="J311" s="330" t="s">
        <v>50</v>
      </c>
      <c r="K311" s="330" t="s">
        <v>51</v>
      </c>
      <c r="L311" s="330" t="s">
        <v>52</v>
      </c>
      <c r="M311" s="330" t="s">
        <v>53</v>
      </c>
      <c r="N311" s="120"/>
      <c r="AA311" s="114"/>
      <c r="AB311" s="114"/>
      <c r="AC311" s="114"/>
      <c r="AD311" s="114"/>
      <c r="AE311" s="114"/>
      <c r="AF311" s="114"/>
      <c r="AG311" s="114"/>
      <c r="AH311" s="114"/>
      <c r="AI311" s="114"/>
      <c r="AJ311" s="114"/>
      <c r="AK311" s="114"/>
    </row>
    <row r="312" spans="1:37" ht="12.75">
      <c r="A312" s="349" t="s">
        <v>103</v>
      </c>
      <c r="B312" s="353"/>
      <c r="C312" s="331">
        <f>IF('Poliof40 - LIVROB'!$G$510=1,0,SUM(C343:C345))</f>
        <v>68.48</v>
      </c>
      <c r="D312" s="331">
        <f>IF('Poliof40 - LIVROB'!$G$510=1,0,SUM(D343:D345))</f>
        <v>65.80000000000001</v>
      </c>
      <c r="E312" s="331">
        <f>IF('Poliof40 - LIVROB'!$G$510=1,0,SUM(E343:E345))</f>
        <v>53.74</v>
      </c>
      <c r="F312" s="331">
        <f>IF('Poliof40 - LIVROB'!$G$510=1,0,SUM(F343:F345))</f>
        <v>45.7</v>
      </c>
      <c r="G312" s="331">
        <f>IF('Poliof40 - LIVROB'!$G$510=1,0,SUM(G343:G345))</f>
        <v>84.78</v>
      </c>
      <c r="H312" s="331">
        <f>IF('Poliof40 - LIVROB'!$G$510=1,0,SUM(H343:H345))</f>
        <v>72.72</v>
      </c>
      <c r="I312" s="331">
        <f>IF('Poliof40 - LIVROB'!$G$510=1,0,SUM(I343:I345))</f>
        <v>75.4</v>
      </c>
      <c r="J312" s="331">
        <f>IF('Poliof40 - LIVROB'!$G$510=1,0,SUM(J343:J345))</f>
        <v>66.02000000000001</v>
      </c>
      <c r="K312" s="331">
        <f>IF('Poliof40 - LIVROB'!$G$510=1,0,SUM(K343:K345))</f>
        <v>98.18</v>
      </c>
      <c r="L312" s="331">
        <f>IF('Poliof40 - LIVROB'!$G$510=1,0,SUM(L343:L345))</f>
        <v>83.44</v>
      </c>
      <c r="M312" s="331">
        <f>IF('Poliof40 - LIVROB'!$G$510=1,0,SUM(M343:M345))</f>
        <v>76.74000000000001</v>
      </c>
      <c r="AA312" s="114"/>
      <c r="AB312" s="114"/>
      <c r="AC312" s="114"/>
      <c r="AD312" s="114"/>
      <c r="AE312" s="114"/>
      <c r="AF312" s="114"/>
      <c r="AG312" s="114"/>
      <c r="AH312" s="114"/>
      <c r="AI312" s="114"/>
      <c r="AJ312" s="114"/>
      <c r="AK312" s="114"/>
    </row>
    <row r="313" spans="1:14" ht="12.75" hidden="1">
      <c r="A313" s="348"/>
      <c r="B313" s="277"/>
      <c r="C313" s="108">
        <f aca="true" t="shared" si="68" ref="C313:M313">IF(C312&gt;$F310,$F310,C312)</f>
        <v>68.48</v>
      </c>
      <c r="D313" s="108">
        <f t="shared" si="68"/>
        <v>65.80000000000001</v>
      </c>
      <c r="E313" s="108">
        <f t="shared" si="68"/>
        <v>53.74</v>
      </c>
      <c r="F313" s="108">
        <f t="shared" si="68"/>
        <v>45.7</v>
      </c>
      <c r="G313" s="108">
        <f t="shared" si="68"/>
        <v>80</v>
      </c>
      <c r="H313" s="108">
        <f t="shared" si="68"/>
        <v>72.72</v>
      </c>
      <c r="I313" s="108">
        <f t="shared" si="68"/>
        <v>75.4</v>
      </c>
      <c r="J313" s="108">
        <f t="shared" si="68"/>
        <v>66.02000000000001</v>
      </c>
      <c r="K313" s="108">
        <f t="shared" si="68"/>
        <v>80</v>
      </c>
      <c r="L313" s="108">
        <f t="shared" si="68"/>
        <v>80</v>
      </c>
      <c r="M313" s="108">
        <f t="shared" si="68"/>
        <v>76.74000000000001</v>
      </c>
      <c r="N313" s="210"/>
    </row>
    <row r="314" spans="1:14" ht="12.75" hidden="1">
      <c r="A314" s="348"/>
      <c r="B314" s="277"/>
      <c r="C314" s="108">
        <f aca="true" t="shared" si="69" ref="C314:M314">IF(C312&gt;$F310,C312-$F310,0)</f>
        <v>0</v>
      </c>
      <c r="D314" s="108">
        <f t="shared" si="69"/>
        <v>0</v>
      </c>
      <c r="E314" s="108">
        <f t="shared" si="69"/>
        <v>0</v>
      </c>
      <c r="F314" s="108">
        <f t="shared" si="69"/>
        <v>0</v>
      </c>
      <c r="G314" s="108">
        <f t="shared" si="69"/>
        <v>4.780000000000001</v>
      </c>
      <c r="H314" s="108">
        <f t="shared" si="69"/>
        <v>0</v>
      </c>
      <c r="I314" s="108">
        <f t="shared" si="69"/>
        <v>0</v>
      </c>
      <c r="J314" s="108">
        <f t="shared" si="69"/>
        <v>0</v>
      </c>
      <c r="K314" s="108">
        <f t="shared" si="69"/>
        <v>18.180000000000007</v>
      </c>
      <c r="L314" s="108">
        <f t="shared" si="69"/>
        <v>3.4399999999999977</v>
      </c>
      <c r="M314" s="108">
        <f t="shared" si="69"/>
        <v>0</v>
      </c>
      <c r="N314" s="210"/>
    </row>
    <row r="315" ht="12.75"/>
    <row r="316" spans="2:14" ht="15.75">
      <c r="B316" s="155" t="s">
        <v>106</v>
      </c>
      <c r="C316" s="113"/>
      <c r="N316" s="16" t="s">
        <v>0</v>
      </c>
    </row>
    <row r="317" spans="3:14" ht="6" customHeight="1">
      <c r="C317" s="16"/>
      <c r="D317" s="17"/>
      <c r="E317" s="17"/>
      <c r="F317" s="17"/>
      <c r="G317" s="17"/>
      <c r="H317" s="18"/>
      <c r="N317" s="16" t="s">
        <v>0</v>
      </c>
    </row>
    <row r="318" spans="1:14" ht="12.75">
      <c r="A318" s="362" t="s">
        <v>107</v>
      </c>
      <c r="B318" s="345"/>
      <c r="C318" s="345"/>
      <c r="D318" s="355"/>
      <c r="E318" s="346" t="s">
        <v>108</v>
      </c>
      <c r="F318" s="360">
        <f>'Poliof40 - LIVROB'!$D$792*'Poliof40 - LIVROB'!$D$794*40</f>
        <v>160</v>
      </c>
      <c r="G318" s="345"/>
      <c r="H318" s="345"/>
      <c r="I318" s="345"/>
      <c r="J318" s="345"/>
      <c r="K318" s="345"/>
      <c r="L318" s="345"/>
      <c r="M318" s="347"/>
      <c r="N318" s="120"/>
    </row>
    <row r="319" spans="1:37" ht="12.75">
      <c r="A319" s="357"/>
      <c r="B319" s="330" t="s">
        <v>69</v>
      </c>
      <c r="C319" s="330" t="s">
        <v>25</v>
      </c>
      <c r="D319" s="330" t="s">
        <v>26</v>
      </c>
      <c r="E319" s="330" t="s">
        <v>27</v>
      </c>
      <c r="F319" s="330" t="s">
        <v>28</v>
      </c>
      <c r="G319" s="330" t="s">
        <v>47</v>
      </c>
      <c r="H319" s="330" t="s">
        <v>48</v>
      </c>
      <c r="I319" s="330" t="s">
        <v>49</v>
      </c>
      <c r="J319" s="330" t="s">
        <v>50</v>
      </c>
      <c r="K319" s="330" t="s">
        <v>51</v>
      </c>
      <c r="L319" s="330" t="s">
        <v>52</v>
      </c>
      <c r="M319" s="330" t="s">
        <v>53</v>
      </c>
      <c r="N319" s="210"/>
      <c r="AA319" s="114"/>
      <c r="AB319" s="114"/>
      <c r="AC319" s="114"/>
      <c r="AD319" s="114"/>
      <c r="AE319" s="114"/>
      <c r="AF319" s="114"/>
      <c r="AG319" s="114"/>
      <c r="AH319" s="114"/>
      <c r="AI319" s="114"/>
      <c r="AJ319" s="114"/>
      <c r="AK319" s="114"/>
    </row>
    <row r="320" spans="1:14" ht="12.75" hidden="1">
      <c r="A320" s="357"/>
      <c r="B320" s="108">
        <f aca="true" t="shared" si="70" ref="B320:M320">IF(B322&gt;$F318,$F318,B322)</f>
        <v>0</v>
      </c>
      <c r="C320" s="108">
        <f t="shared" si="70"/>
        <v>91.22</v>
      </c>
      <c r="D320" s="108">
        <f t="shared" si="70"/>
        <v>95.87</v>
      </c>
      <c r="E320" s="108">
        <f t="shared" si="70"/>
        <v>87.89</v>
      </c>
      <c r="F320" s="108">
        <f t="shared" si="70"/>
        <v>140.46</v>
      </c>
      <c r="G320" s="108">
        <f t="shared" si="70"/>
        <v>128.49</v>
      </c>
      <c r="H320" s="108">
        <f t="shared" si="70"/>
        <v>121.15</v>
      </c>
      <c r="I320" s="108">
        <f t="shared" si="70"/>
        <v>130.51</v>
      </c>
      <c r="J320" s="108">
        <f t="shared" si="70"/>
        <v>160</v>
      </c>
      <c r="K320" s="108">
        <f t="shared" si="70"/>
        <v>149.13</v>
      </c>
      <c r="L320" s="108">
        <f t="shared" si="70"/>
        <v>142.48000000000002</v>
      </c>
      <c r="M320" s="108">
        <f t="shared" si="70"/>
        <v>119.84</v>
      </c>
      <c r="N320" s="210"/>
    </row>
    <row r="321" spans="1:14" ht="12.75" hidden="1">
      <c r="A321" s="357"/>
      <c r="B321" s="108">
        <f aca="true" t="shared" si="71" ref="B321:M321">IF(B322&gt;$F318,B322-$F318,0)</f>
        <v>0</v>
      </c>
      <c r="C321" s="108">
        <f t="shared" si="71"/>
        <v>0</v>
      </c>
      <c r="D321" s="108">
        <f t="shared" si="71"/>
        <v>0</v>
      </c>
      <c r="E321" s="108">
        <f t="shared" si="71"/>
        <v>0</v>
      </c>
      <c r="F321" s="108">
        <f t="shared" si="71"/>
        <v>0</v>
      </c>
      <c r="G321" s="108">
        <f t="shared" si="71"/>
        <v>0</v>
      </c>
      <c r="H321" s="108">
        <f t="shared" si="71"/>
        <v>0</v>
      </c>
      <c r="I321" s="108">
        <f t="shared" si="71"/>
        <v>0</v>
      </c>
      <c r="J321" s="108">
        <f t="shared" si="71"/>
        <v>5.090000000000003</v>
      </c>
      <c r="K321" s="108">
        <f t="shared" si="71"/>
        <v>0</v>
      </c>
      <c r="L321" s="108">
        <f t="shared" si="71"/>
        <v>0</v>
      </c>
      <c r="M321" s="108">
        <f t="shared" si="71"/>
        <v>0</v>
      </c>
      <c r="N321" s="210"/>
    </row>
    <row r="322" spans="1:37" ht="12.75">
      <c r="A322" s="349" t="s">
        <v>103</v>
      </c>
      <c r="B322" s="331">
        <f aca="true" t="shared" si="72" ref="B322:M322">B351</f>
        <v>0</v>
      </c>
      <c r="C322" s="331">
        <f t="shared" si="72"/>
        <v>91.22</v>
      </c>
      <c r="D322" s="331">
        <f t="shared" si="72"/>
        <v>95.87</v>
      </c>
      <c r="E322" s="331">
        <f t="shared" si="72"/>
        <v>87.89</v>
      </c>
      <c r="F322" s="331">
        <f t="shared" si="72"/>
        <v>140.46</v>
      </c>
      <c r="G322" s="331">
        <f t="shared" si="72"/>
        <v>128.49</v>
      </c>
      <c r="H322" s="331">
        <f t="shared" si="72"/>
        <v>121.15</v>
      </c>
      <c r="I322" s="331">
        <f t="shared" si="72"/>
        <v>130.51</v>
      </c>
      <c r="J322" s="331">
        <f t="shared" si="72"/>
        <v>165.09</v>
      </c>
      <c r="K322" s="331">
        <f t="shared" si="72"/>
        <v>149.13</v>
      </c>
      <c r="L322" s="331">
        <f t="shared" si="72"/>
        <v>142.48000000000002</v>
      </c>
      <c r="M322" s="331">
        <f t="shared" si="72"/>
        <v>119.84</v>
      </c>
      <c r="AA322" s="114"/>
      <c r="AB322" s="114"/>
      <c r="AC322" s="114"/>
      <c r="AD322" s="114"/>
      <c r="AE322" s="114"/>
      <c r="AF322" s="114"/>
      <c r="AG322" s="114"/>
      <c r="AH322" s="114"/>
      <c r="AI322" s="114"/>
      <c r="AJ322" s="114"/>
      <c r="AK322" s="114"/>
    </row>
    <row r="323" ht="6" customHeight="1"/>
    <row r="324" spans="1:14" ht="12.75">
      <c r="A324" s="362" t="s">
        <v>109</v>
      </c>
      <c r="B324" s="345"/>
      <c r="C324" s="345"/>
      <c r="D324" s="355"/>
      <c r="E324" s="346" t="s">
        <v>108</v>
      </c>
      <c r="F324" s="360">
        <f>'Poliof40 - LIVROB'!$D$840*'Poliof40 - LIVROB'!$D$842*40</f>
        <v>160</v>
      </c>
      <c r="G324" s="345"/>
      <c r="H324" s="345"/>
      <c r="I324" s="345"/>
      <c r="J324" s="345"/>
      <c r="K324" s="345"/>
      <c r="L324" s="345"/>
      <c r="M324" s="347"/>
      <c r="N324" s="120"/>
    </row>
    <row r="325" spans="1:37" ht="12.75">
      <c r="A325" s="357"/>
      <c r="B325" s="330" t="s">
        <v>69</v>
      </c>
      <c r="C325" s="330" t="s">
        <v>25</v>
      </c>
      <c r="D325" s="330" t="s">
        <v>26</v>
      </c>
      <c r="E325" s="330" t="s">
        <v>27</v>
      </c>
      <c r="F325" s="330" t="s">
        <v>28</v>
      </c>
      <c r="G325" s="330" t="s">
        <v>47</v>
      </c>
      <c r="H325" s="330" t="s">
        <v>48</v>
      </c>
      <c r="I325" s="330" t="s">
        <v>49</v>
      </c>
      <c r="J325" s="330" t="s">
        <v>50</v>
      </c>
      <c r="K325" s="330" t="s">
        <v>51</v>
      </c>
      <c r="L325" s="330" t="s">
        <v>52</v>
      </c>
      <c r="M325" s="330" t="s">
        <v>53</v>
      </c>
      <c r="N325" s="210"/>
      <c r="AA325" s="114"/>
      <c r="AB325" s="114"/>
      <c r="AC325" s="114"/>
      <c r="AD325" s="114"/>
      <c r="AE325" s="114"/>
      <c r="AF325" s="114"/>
      <c r="AG325" s="114"/>
      <c r="AH325" s="114"/>
      <c r="AI325" s="114"/>
      <c r="AJ325" s="114"/>
      <c r="AK325" s="114"/>
    </row>
    <row r="326" spans="1:14" ht="12.75" hidden="1">
      <c r="A326" s="357"/>
      <c r="B326" s="108">
        <f aca="true" t="shared" si="73" ref="B326:M326">IF(B328&gt;$F324,$F324,B328)</f>
        <v>0</v>
      </c>
      <c r="C326" s="108">
        <f t="shared" si="73"/>
        <v>148.70999999999998</v>
      </c>
      <c r="D326" s="108">
        <f t="shared" si="73"/>
        <v>141.94000000000003</v>
      </c>
      <c r="E326" s="108">
        <f t="shared" si="73"/>
        <v>133.84</v>
      </c>
      <c r="F326" s="108">
        <f t="shared" si="73"/>
        <v>160</v>
      </c>
      <c r="G326" s="108">
        <f t="shared" si="73"/>
        <v>160</v>
      </c>
      <c r="H326" s="108">
        <f t="shared" si="73"/>
        <v>160</v>
      </c>
      <c r="I326" s="108">
        <f t="shared" si="73"/>
        <v>160</v>
      </c>
      <c r="J326" s="108">
        <f t="shared" si="73"/>
        <v>160</v>
      </c>
      <c r="K326" s="108">
        <f t="shared" si="73"/>
        <v>160</v>
      </c>
      <c r="L326" s="108">
        <f t="shared" si="73"/>
        <v>160</v>
      </c>
      <c r="M326" s="108">
        <f t="shared" si="73"/>
        <v>160</v>
      </c>
      <c r="N326" s="210"/>
    </row>
    <row r="327" spans="1:14" ht="12.75" hidden="1">
      <c r="A327" s="357"/>
      <c r="B327" s="108">
        <f aca="true" t="shared" si="74" ref="B327:M327">IF(B328&gt;$F324,B328-$F324,0)</f>
        <v>0</v>
      </c>
      <c r="C327" s="108">
        <f t="shared" si="74"/>
        <v>0</v>
      </c>
      <c r="D327" s="108">
        <f t="shared" si="74"/>
        <v>0</v>
      </c>
      <c r="E327" s="108">
        <f t="shared" si="74"/>
        <v>0</v>
      </c>
      <c r="F327" s="108">
        <f t="shared" si="74"/>
        <v>38.26000000000002</v>
      </c>
      <c r="G327" s="108">
        <f t="shared" si="74"/>
        <v>26.110000000000014</v>
      </c>
      <c r="H327" s="108">
        <f t="shared" si="74"/>
        <v>23.590000000000003</v>
      </c>
      <c r="I327" s="108">
        <f t="shared" si="74"/>
        <v>46.16</v>
      </c>
      <c r="J327" s="108">
        <f t="shared" si="74"/>
        <v>81.26000000000002</v>
      </c>
      <c r="K327" s="108">
        <f t="shared" si="74"/>
        <v>65.06</v>
      </c>
      <c r="L327" s="108">
        <f t="shared" si="74"/>
        <v>56.96000000000001</v>
      </c>
      <c r="M327" s="108">
        <f t="shared" si="74"/>
        <v>31.49000000000001</v>
      </c>
      <c r="N327" s="210"/>
    </row>
    <row r="328" spans="1:37" ht="12.75">
      <c r="A328" s="349" t="s">
        <v>103</v>
      </c>
      <c r="B328" s="331">
        <f aca="true" t="shared" si="75" ref="B328:M328">B361</f>
        <v>0</v>
      </c>
      <c r="C328" s="331">
        <f t="shared" si="75"/>
        <v>148.70999999999998</v>
      </c>
      <c r="D328" s="331">
        <f t="shared" si="75"/>
        <v>141.94000000000003</v>
      </c>
      <c r="E328" s="331">
        <f t="shared" si="75"/>
        <v>133.84</v>
      </c>
      <c r="F328" s="331">
        <f t="shared" si="75"/>
        <v>198.26000000000002</v>
      </c>
      <c r="G328" s="331">
        <f t="shared" si="75"/>
        <v>186.11</v>
      </c>
      <c r="H328" s="331">
        <f t="shared" si="75"/>
        <v>183.59</v>
      </c>
      <c r="I328" s="331">
        <f t="shared" si="75"/>
        <v>206.16</v>
      </c>
      <c r="J328" s="331">
        <f t="shared" si="75"/>
        <v>241.26000000000002</v>
      </c>
      <c r="K328" s="331">
        <f t="shared" si="75"/>
        <v>225.06</v>
      </c>
      <c r="L328" s="331">
        <f t="shared" si="75"/>
        <v>216.96</v>
      </c>
      <c r="M328" s="331">
        <f t="shared" si="75"/>
        <v>191.49</v>
      </c>
      <c r="AA328" s="114"/>
      <c r="AB328" s="114"/>
      <c r="AC328" s="114"/>
      <c r="AD328" s="114"/>
      <c r="AE328" s="114"/>
      <c r="AF328" s="114"/>
      <c r="AG328" s="114"/>
      <c r="AH328" s="114"/>
      <c r="AI328" s="114"/>
      <c r="AJ328" s="114"/>
      <c r="AK328" s="114"/>
    </row>
    <row r="329" ht="12.75"/>
    <row r="330" spans="2:4" ht="15.75">
      <c r="B330" s="155" t="s">
        <v>110</v>
      </c>
      <c r="D330" s="113"/>
    </row>
    <row r="331" spans="4:14" ht="6" customHeight="1">
      <c r="D331" s="17"/>
      <c r="E331" s="17"/>
      <c r="F331" s="17"/>
      <c r="G331" s="18"/>
      <c r="N331" s="16" t="s">
        <v>0</v>
      </c>
    </row>
    <row r="332" spans="1:14" ht="12.75">
      <c r="A332" s="362" t="s">
        <v>111</v>
      </c>
      <c r="B332" s="345"/>
      <c r="C332" s="345"/>
      <c r="D332" s="355"/>
      <c r="E332" s="346" t="s">
        <v>102</v>
      </c>
      <c r="F332" s="360">
        <f>'Poliof40 - LIVROB'!$D$878*'Poliof40 - LIVROB'!$D$880*40</f>
        <v>40</v>
      </c>
      <c r="G332" s="345"/>
      <c r="H332" s="345"/>
      <c r="I332" s="345"/>
      <c r="J332" s="345"/>
      <c r="K332" s="345"/>
      <c r="L332" s="345"/>
      <c r="M332" s="347"/>
      <c r="N332" s="16"/>
    </row>
    <row r="333" spans="1:37" ht="12.75">
      <c r="A333" s="357"/>
      <c r="B333" s="330" t="s">
        <v>69</v>
      </c>
      <c r="C333" s="330" t="s">
        <v>25</v>
      </c>
      <c r="D333" s="330" t="s">
        <v>26</v>
      </c>
      <c r="E333" s="330" t="s">
        <v>27</v>
      </c>
      <c r="F333" s="330" t="s">
        <v>28</v>
      </c>
      <c r="G333" s="330" t="s">
        <v>47</v>
      </c>
      <c r="H333" s="330" t="s">
        <v>48</v>
      </c>
      <c r="I333" s="330" t="s">
        <v>49</v>
      </c>
      <c r="J333" s="330" t="s">
        <v>50</v>
      </c>
      <c r="K333" s="330" t="s">
        <v>51</v>
      </c>
      <c r="L333" s="330" t="s">
        <v>52</v>
      </c>
      <c r="M333" s="330" t="s">
        <v>53</v>
      </c>
      <c r="N333" s="120"/>
      <c r="AA333" s="114"/>
      <c r="AB333" s="114"/>
      <c r="AC333" s="114"/>
      <c r="AD333" s="114"/>
      <c r="AE333" s="114"/>
      <c r="AF333" s="114"/>
      <c r="AG333" s="114"/>
      <c r="AH333" s="114"/>
      <c r="AI333" s="114"/>
      <c r="AJ333" s="114"/>
      <c r="AK333" s="114"/>
    </row>
    <row r="334" spans="1:14" ht="12.75" hidden="1">
      <c r="A334" s="357"/>
      <c r="B334" s="108">
        <f aca="true" t="shared" si="76" ref="B334:M334">IF(B336&gt;$F332,$F332,B336)</f>
        <v>0</v>
      </c>
      <c r="C334" s="108">
        <f t="shared" si="76"/>
        <v>23.13</v>
      </c>
      <c r="D334" s="108">
        <f t="shared" si="76"/>
        <v>37.620000000000005</v>
      </c>
      <c r="E334" s="108">
        <f t="shared" si="76"/>
        <v>40</v>
      </c>
      <c r="F334" s="108">
        <f t="shared" si="76"/>
        <v>40</v>
      </c>
      <c r="G334" s="108">
        <f t="shared" si="76"/>
        <v>40</v>
      </c>
      <c r="H334" s="108">
        <f t="shared" si="76"/>
        <v>40</v>
      </c>
      <c r="I334" s="108">
        <f t="shared" si="76"/>
        <v>40</v>
      </c>
      <c r="J334" s="108">
        <f t="shared" si="76"/>
        <v>40</v>
      </c>
      <c r="K334" s="108">
        <f t="shared" si="76"/>
        <v>40</v>
      </c>
      <c r="L334" s="108">
        <f t="shared" si="76"/>
        <v>40</v>
      </c>
      <c r="M334" s="108">
        <f t="shared" si="76"/>
        <v>0</v>
      </c>
      <c r="N334" s="210"/>
    </row>
    <row r="335" spans="1:14" ht="12.75" hidden="1">
      <c r="A335" s="357"/>
      <c r="B335" s="108">
        <f aca="true" t="shared" si="77" ref="B335:M335">IF(B336&gt;$F332,B336-$F332,0)</f>
        <v>0</v>
      </c>
      <c r="C335" s="108">
        <f t="shared" si="77"/>
        <v>0</v>
      </c>
      <c r="D335" s="108">
        <f t="shared" si="77"/>
        <v>0</v>
      </c>
      <c r="E335" s="108">
        <f t="shared" si="77"/>
        <v>17.760000000000005</v>
      </c>
      <c r="F335" s="108">
        <f t="shared" si="77"/>
        <v>13.39</v>
      </c>
      <c r="G335" s="108">
        <f t="shared" si="77"/>
        <v>12.61</v>
      </c>
      <c r="H335" s="108">
        <f t="shared" si="77"/>
        <v>16.910000000000004</v>
      </c>
      <c r="I335" s="108">
        <f t="shared" si="77"/>
        <v>29.930000000000007</v>
      </c>
      <c r="J335" s="108">
        <f t="shared" si="77"/>
        <v>24.05000000000001</v>
      </c>
      <c r="K335" s="108">
        <f t="shared" si="77"/>
        <v>21.28</v>
      </c>
      <c r="L335" s="108">
        <f t="shared" si="77"/>
        <v>12.960000000000008</v>
      </c>
      <c r="M335" s="108">
        <f t="shared" si="77"/>
        <v>0</v>
      </c>
      <c r="N335" s="210"/>
    </row>
    <row r="336" spans="1:37" ht="12.75">
      <c r="A336" s="349" t="s">
        <v>103</v>
      </c>
      <c r="B336" s="331">
        <f aca="true" t="shared" si="78" ref="B336:M336">B368</f>
        <v>0</v>
      </c>
      <c r="C336" s="331">
        <f t="shared" si="78"/>
        <v>23.13</v>
      </c>
      <c r="D336" s="331">
        <f t="shared" si="78"/>
        <v>37.620000000000005</v>
      </c>
      <c r="E336" s="331">
        <f t="shared" si="78"/>
        <v>57.760000000000005</v>
      </c>
      <c r="F336" s="331">
        <f t="shared" si="78"/>
        <v>53.39</v>
      </c>
      <c r="G336" s="331">
        <f t="shared" si="78"/>
        <v>52.61</v>
      </c>
      <c r="H336" s="331">
        <f t="shared" si="78"/>
        <v>56.910000000000004</v>
      </c>
      <c r="I336" s="331">
        <f t="shared" si="78"/>
        <v>69.93</v>
      </c>
      <c r="J336" s="331">
        <f t="shared" si="78"/>
        <v>64.05000000000001</v>
      </c>
      <c r="K336" s="331">
        <f t="shared" si="78"/>
        <v>61.28</v>
      </c>
      <c r="L336" s="331">
        <f t="shared" si="78"/>
        <v>52.96000000000001</v>
      </c>
      <c r="M336" s="331">
        <f t="shared" si="78"/>
        <v>0</v>
      </c>
      <c r="AA336" s="114"/>
      <c r="AB336" s="114"/>
      <c r="AC336" s="114"/>
      <c r="AD336" s="114"/>
      <c r="AE336" s="114"/>
      <c r="AF336" s="114"/>
      <c r="AG336" s="114"/>
      <c r="AH336" s="114"/>
      <c r="AI336" s="114"/>
      <c r="AJ336" s="114"/>
      <c r="AK336" s="114"/>
    </row>
    <row r="337" ht="12.75"/>
    <row r="338" spans="2:5" ht="20.25">
      <c r="B338" s="163" t="s">
        <v>112</v>
      </c>
      <c r="C338" s="16"/>
      <c r="D338" s="16"/>
      <c r="E338" s="16"/>
    </row>
    <row r="339" spans="2:8" ht="12.75">
      <c r="B339" s="17"/>
      <c r="C339" s="17"/>
      <c r="D339" s="17"/>
      <c r="E339" s="17"/>
      <c r="F339" s="17"/>
      <c r="G339" s="17"/>
      <c r="H339" s="18"/>
    </row>
    <row r="340" spans="1:13" ht="12.75">
      <c r="A340" s="361" t="s">
        <v>113</v>
      </c>
      <c r="B340" s="358"/>
      <c r="C340" s="330" t="s">
        <v>25</v>
      </c>
      <c r="D340" s="330" t="s">
        <v>26</v>
      </c>
      <c r="E340" s="330" t="s">
        <v>27</v>
      </c>
      <c r="F340" s="330" t="s">
        <v>28</v>
      </c>
      <c r="G340" s="330" t="s">
        <v>47</v>
      </c>
      <c r="H340" s="330" t="s">
        <v>48</v>
      </c>
      <c r="I340" s="330" t="s">
        <v>49</v>
      </c>
      <c r="J340" s="330" t="s">
        <v>50</v>
      </c>
      <c r="K340" s="330" t="s">
        <v>51</v>
      </c>
      <c r="L340" s="330" t="s">
        <v>52</v>
      </c>
      <c r="M340" s="330" t="s">
        <v>53</v>
      </c>
    </row>
    <row r="341" spans="1:13" ht="12.75">
      <c r="A341" s="358" t="s">
        <v>114</v>
      </c>
      <c r="B341" s="359"/>
      <c r="C341" s="331">
        <f>C85*'Poliof40 - LIVROB'!$F$537</f>
        <v>25.6</v>
      </c>
      <c r="D341" s="331">
        <f>D85*'Poliof40 - LIVROB'!$F$537</f>
        <v>25.6</v>
      </c>
      <c r="E341" s="331">
        <f>E85*'Poliof40 - LIVROB'!$F$537</f>
        <v>17.6</v>
      </c>
      <c r="F341" s="331">
        <f>F85*'Poliof40 - LIVROB'!$F$537</f>
        <v>17.6</v>
      </c>
      <c r="G341" s="331">
        <f>G85*'Poliof40 - LIVROB'!$F$537</f>
        <v>25.6</v>
      </c>
      <c r="H341" s="331">
        <f>H85*'Poliof40 - LIVROB'!$F$537</f>
        <v>25.6</v>
      </c>
      <c r="I341" s="331">
        <f>I85*'Poliof40 - LIVROB'!$F$537</f>
        <v>17.6</v>
      </c>
      <c r="J341" s="331">
        <f>J85*'Poliof40 - LIVROB'!$F$537</f>
        <v>25.6</v>
      </c>
      <c r="K341" s="331">
        <f>K85*'Poliof40 - LIVROB'!$F$537</f>
        <v>25.6</v>
      </c>
      <c r="L341" s="331">
        <f>L85*'Poliof40 - LIVROB'!$F$537</f>
        <v>25.6</v>
      </c>
      <c r="M341" s="331">
        <f>M85*'Poliof40 - LIVROB'!$F$537</f>
        <v>25.6</v>
      </c>
    </row>
    <row r="342" spans="1:14" ht="12.75">
      <c r="A342" s="358" t="s">
        <v>115</v>
      </c>
      <c r="B342" s="359"/>
      <c r="C342" s="331">
        <f>C92*'Poliof40 - LIVROB'!$F$538</f>
        <v>13.35</v>
      </c>
      <c r="D342" s="331">
        <f>D92*'Poliof40 - LIVROB'!$F$538</f>
        <v>13.35</v>
      </c>
      <c r="E342" s="331">
        <f>E92*'Poliof40 - LIVROB'!$F$538</f>
        <v>13.35</v>
      </c>
      <c r="F342" s="331">
        <f>F92*'Poliof40 - LIVROB'!$F$538</f>
        <v>13.35</v>
      </c>
      <c r="G342" s="331">
        <f>G92*'Poliof40 - LIVROB'!$F$538</f>
        <v>16.02</v>
      </c>
      <c r="H342" s="331">
        <f>H92*'Poliof40 - LIVROB'!$F$538</f>
        <v>16.02</v>
      </c>
      <c r="I342" s="331">
        <f>I92*'Poliof40 - LIVROB'!$F$538</f>
        <v>16.02</v>
      </c>
      <c r="J342" s="331">
        <f>J92*'Poliof40 - LIVROB'!$F$538</f>
        <v>21.36</v>
      </c>
      <c r="K342" s="331">
        <f>K92*'Poliof40 - LIVROB'!$F$538</f>
        <v>21.36</v>
      </c>
      <c r="L342" s="331">
        <f>L92*'Poliof40 - LIVROB'!$F$538</f>
        <v>21.36</v>
      </c>
      <c r="M342" s="331">
        <f>M92*'Poliof40 - LIVROB'!$F$538</f>
        <v>21.36</v>
      </c>
      <c r="N342" s="15"/>
    </row>
    <row r="343" spans="1:13" ht="12.75">
      <c r="A343" s="358" t="s">
        <v>116</v>
      </c>
      <c r="B343" s="359"/>
      <c r="C343" s="331">
        <f>C99*'Poliof40 - LIVROB'!$F$539</f>
        <v>29.48</v>
      </c>
      <c r="D343" s="331">
        <f>D99*'Poliof40 - LIVROB'!$F$539</f>
        <v>26.8</v>
      </c>
      <c r="E343" s="331">
        <f>E99*'Poliof40 - LIVROB'!$F$539</f>
        <v>14.74</v>
      </c>
      <c r="F343" s="331">
        <f>F99*'Poliof40 - LIVROB'!$F$539</f>
        <v>6.7</v>
      </c>
      <c r="G343" s="331">
        <f>G99*'Poliof40 - LIVROB'!$F$539</f>
        <v>36.18</v>
      </c>
      <c r="H343" s="331">
        <f>H99*'Poliof40 - LIVROB'!$F$539</f>
        <v>22.78</v>
      </c>
      <c r="I343" s="331">
        <f>I99*'Poliof40 - LIVROB'!$F$539</f>
        <v>16.080000000000002</v>
      </c>
      <c r="J343" s="331">
        <f>J99*'Poliof40 - LIVROB'!$F$539</f>
        <v>6.7</v>
      </c>
      <c r="K343" s="331">
        <f>K99*'Poliof40 - LIVROB'!$F$539</f>
        <v>38.86</v>
      </c>
      <c r="L343" s="331">
        <f>L99*'Poliof40 - LIVROB'!$F$539</f>
        <v>24.12</v>
      </c>
      <c r="M343" s="331">
        <f>M99*'Poliof40 - LIVROB'!$F$539</f>
        <v>17.42</v>
      </c>
    </row>
    <row r="344" spans="1:13" ht="12.75">
      <c r="A344" s="358" t="s">
        <v>117</v>
      </c>
      <c r="B344" s="359"/>
      <c r="C344" s="331">
        <f>C106*'Poliof40 - LIVROB'!$F$540</f>
        <v>13.4</v>
      </c>
      <c r="D344" s="331">
        <f>D106*'Poliof40 - LIVROB'!$F$540</f>
        <v>13.4</v>
      </c>
      <c r="E344" s="331">
        <f>E106*'Poliof40 - LIVROB'!$F$540</f>
        <v>13.4</v>
      </c>
      <c r="F344" s="331">
        <f>F106*'Poliof40 - LIVROB'!$F$540</f>
        <v>13.4</v>
      </c>
      <c r="G344" s="331">
        <f>G106*'Poliof40 - LIVROB'!$F$540</f>
        <v>13.4</v>
      </c>
      <c r="H344" s="331">
        <f>H106*'Poliof40 - LIVROB'!$F$540</f>
        <v>14.74</v>
      </c>
      <c r="I344" s="331">
        <f>I106*'Poliof40 - LIVROB'!$F$540</f>
        <v>24.12</v>
      </c>
      <c r="J344" s="331">
        <f>J106*'Poliof40 - LIVROB'!$F$540</f>
        <v>24.12</v>
      </c>
      <c r="K344" s="331">
        <f>K106*'Poliof40 - LIVROB'!$F$540</f>
        <v>24.12</v>
      </c>
      <c r="L344" s="331">
        <f>L106*'Poliof40 - LIVROB'!$F$540</f>
        <v>24.12</v>
      </c>
      <c r="M344" s="331">
        <f>M106*'Poliof40 - LIVROB'!$F$540</f>
        <v>24.12</v>
      </c>
    </row>
    <row r="345" spans="1:13" ht="12.75">
      <c r="A345" s="358" t="s">
        <v>118</v>
      </c>
      <c r="B345" s="359"/>
      <c r="C345" s="331">
        <f>C113*'Poliof40 - LIVROB'!$F$541</f>
        <v>25.6</v>
      </c>
      <c r="D345" s="331">
        <f>D113*'Poliof40 - LIVROB'!$F$541</f>
        <v>25.6</v>
      </c>
      <c r="E345" s="331">
        <f>E113*'Poliof40 - LIVROB'!$F$541</f>
        <v>25.6</v>
      </c>
      <c r="F345" s="331">
        <f>F113*'Poliof40 - LIVROB'!$F$541</f>
        <v>25.6</v>
      </c>
      <c r="G345" s="331">
        <f>G113*'Poliof40 - LIVROB'!$F$541</f>
        <v>35.2</v>
      </c>
      <c r="H345" s="331">
        <f>H113*'Poliof40 - LIVROB'!$F$541</f>
        <v>35.2</v>
      </c>
      <c r="I345" s="331">
        <f>I113*'Poliof40 - LIVROB'!$F$541</f>
        <v>35.2</v>
      </c>
      <c r="J345" s="331">
        <f>J113*'Poliof40 - LIVROB'!$F$541</f>
        <v>35.2</v>
      </c>
      <c r="K345" s="331">
        <f>K113*'Poliof40 - LIVROB'!$F$541</f>
        <v>35.2</v>
      </c>
      <c r="L345" s="331">
        <f>L113*'Poliof40 - LIVROB'!$F$541</f>
        <v>35.2</v>
      </c>
      <c r="M345" s="331">
        <f>M113*'Poliof40 - LIVROB'!$F$541</f>
        <v>35.2</v>
      </c>
    </row>
    <row r="346" spans="1:13" ht="12.75">
      <c r="A346" s="358" t="s">
        <v>119</v>
      </c>
      <c r="B346" s="359"/>
      <c r="C346" s="331">
        <f aca="true" t="shared" si="79" ref="C346:M346">SUM(C341:C345)</f>
        <v>107.43</v>
      </c>
      <c r="D346" s="331">
        <f t="shared" si="79"/>
        <v>104.75</v>
      </c>
      <c r="E346" s="331">
        <f t="shared" si="79"/>
        <v>84.69</v>
      </c>
      <c r="F346" s="331">
        <f t="shared" si="79"/>
        <v>76.65</v>
      </c>
      <c r="G346" s="331">
        <f t="shared" si="79"/>
        <v>126.40000000000002</v>
      </c>
      <c r="H346" s="331">
        <f t="shared" si="79"/>
        <v>114.34</v>
      </c>
      <c r="I346" s="331">
        <f t="shared" si="79"/>
        <v>109.02000000000001</v>
      </c>
      <c r="J346" s="331">
        <f t="shared" si="79"/>
        <v>112.98</v>
      </c>
      <c r="K346" s="331">
        <f t="shared" si="79"/>
        <v>145.14</v>
      </c>
      <c r="L346" s="331">
        <f t="shared" si="79"/>
        <v>130.4</v>
      </c>
      <c r="M346" s="331">
        <f t="shared" si="79"/>
        <v>123.7</v>
      </c>
    </row>
    <row r="347" ht="12.75"/>
    <row r="348" spans="1:13" ht="12.75">
      <c r="A348" s="360" t="s">
        <v>120</v>
      </c>
      <c r="B348" s="330" t="s">
        <v>69</v>
      </c>
      <c r="C348" s="330" t="s">
        <v>25</v>
      </c>
      <c r="D348" s="330" t="s">
        <v>26</v>
      </c>
      <c r="E348" s="330" t="s">
        <v>27</v>
      </c>
      <c r="F348" s="330" t="s">
        <v>28</v>
      </c>
      <c r="G348" s="330" t="s">
        <v>47</v>
      </c>
      <c r="H348" s="330" t="s">
        <v>48</v>
      </c>
      <c r="I348" s="330" t="s">
        <v>49</v>
      </c>
      <c r="J348" s="330" t="s">
        <v>50</v>
      </c>
      <c r="K348" s="330" t="s">
        <v>51</v>
      </c>
      <c r="L348" s="330" t="s">
        <v>52</v>
      </c>
      <c r="M348" s="330" t="s">
        <v>53</v>
      </c>
    </row>
    <row r="349" spans="1:14" ht="12.75">
      <c r="A349" s="330" t="s">
        <v>79</v>
      </c>
      <c r="B349" s="331">
        <f>IF(K165=0,0,'Poliof40 - LIVROB'!$F$551*ROUND((B170+C170)/K165,0))</f>
        <v>0</v>
      </c>
      <c r="C349" s="331">
        <f>IF($K165=0,0,ROUND(D170/$K165,0))*'Poliof40 - LIVROB'!$F$551</f>
        <v>46</v>
      </c>
      <c r="D349" s="331">
        <f>IF($K165=0,0,ROUND(E170/$K165,0))*'Poliof40 - LIVROB'!$F$551</f>
        <v>44</v>
      </c>
      <c r="E349" s="331">
        <f>IF($K165=0,0,ROUND(F170/$K165,0))*'Poliof40 - LIVROB'!$F$551</f>
        <v>44</v>
      </c>
      <c r="F349" s="331">
        <f>IF($K165=0,0,ROUND(G170/$K165,0))*'Poliof40 - LIVROB'!$F$551</f>
        <v>58</v>
      </c>
      <c r="G349" s="331">
        <f>IF($K165=0,0,ROUND(H170/$K165,0))*'Poliof40 - LIVROB'!$F$551</f>
        <v>58</v>
      </c>
      <c r="H349" s="331">
        <f>IF($K165=0,0,ROUND(I170/$K165,0))*'Poliof40 - LIVROB'!$F$551</f>
        <v>48</v>
      </c>
      <c r="I349" s="331">
        <f>IF($K165=0,0,ROUND(J170/$K165,0))*'Poliof40 - LIVROB'!$F$551</f>
        <v>68</v>
      </c>
      <c r="J349" s="331">
        <f>IF($K165=0,0,ROUND(K170/$K165,0))*'Poliof40 - LIVROB'!$F$551</f>
        <v>68</v>
      </c>
      <c r="K349" s="331">
        <f>IF($K165=0,0,ROUND(L170/$K165,0))*'Poliof40 - LIVROB'!$F$551</f>
        <v>68</v>
      </c>
      <c r="L349" s="331">
        <f>IF($K165=0,0,ROUND(M170/$K165,0))*'Poliof40 - LIVROB'!$F$551</f>
        <v>68</v>
      </c>
      <c r="M349" s="331">
        <f>IF($K165=0,0,ROUND(N170/$K165,0))*'Poliof40 - LIVROB'!$F$551</f>
        <v>56</v>
      </c>
      <c r="N349" s="16" t="s">
        <v>0</v>
      </c>
    </row>
    <row r="350" spans="1:14" ht="12.75">
      <c r="A350" s="330" t="s">
        <v>121</v>
      </c>
      <c r="B350" s="331">
        <f>IF(K173=0,0,ROUND((B178+C178)/K173,0)*'Poliof40 - LIVROB'!$F$552)</f>
        <v>0</v>
      </c>
      <c r="C350" s="331">
        <f>IF($K173=0,0,ROUND(D178/$K173,0))*'Poliof40 - LIVROB'!$F$552</f>
        <v>45.22</v>
      </c>
      <c r="D350" s="331">
        <f>IF($K173=0,0,ROUND(E178/$K173,0))*'Poliof40 - LIVROB'!$F$552</f>
        <v>51.870000000000005</v>
      </c>
      <c r="E350" s="331">
        <f>IF($K173=0,0,ROUND(F178/$K173,0))*'Poliof40 - LIVROB'!$F$552</f>
        <v>43.89</v>
      </c>
      <c r="F350" s="331">
        <f>IF($K173=0,0,ROUND(G178/$K173,0))*'Poliof40 - LIVROB'!$F$552</f>
        <v>82.46000000000001</v>
      </c>
      <c r="G350" s="331">
        <f>IF($K173=0,0,ROUND(H178/$K173,0))*'Poliof40 - LIVROB'!$F$552</f>
        <v>70.49000000000001</v>
      </c>
      <c r="H350" s="331">
        <f>IF($K173=0,0,ROUND(I178/$K173,0))*'Poliof40 - LIVROB'!$F$552</f>
        <v>73.15</v>
      </c>
      <c r="I350" s="331">
        <f>IF($K173=0,0,ROUND(J178/$K173,0))*'Poliof40 - LIVROB'!$F$552</f>
        <v>62.510000000000005</v>
      </c>
      <c r="J350" s="331">
        <f>IF($K173=0,0,ROUND(K178/$K173,0))*'Poliof40 - LIVROB'!$F$552</f>
        <v>97.09</v>
      </c>
      <c r="K350" s="331">
        <f>IF($K173=0,0,ROUND(L178/$K173,0))*'Poliof40 - LIVROB'!$F$552</f>
        <v>81.13000000000001</v>
      </c>
      <c r="L350" s="331">
        <f>IF($K173=0,0,ROUND(M178/$K173,0))*'Poliof40 - LIVROB'!$F$552</f>
        <v>74.48</v>
      </c>
      <c r="M350" s="331">
        <f>IF($K173=0,0,ROUND(N178/$K173,0))*'Poliof40 - LIVROB'!$F$552</f>
        <v>63.84</v>
      </c>
      <c r="N350" s="15"/>
    </row>
    <row r="351" spans="1:13" ht="12.75">
      <c r="A351" s="330" t="s">
        <v>122</v>
      </c>
      <c r="B351" s="331">
        <f aca="true" t="shared" si="80" ref="B351:M351">SUM(B349:B350)</f>
        <v>0</v>
      </c>
      <c r="C351" s="331">
        <f t="shared" si="80"/>
        <v>91.22</v>
      </c>
      <c r="D351" s="331">
        <f t="shared" si="80"/>
        <v>95.87</v>
      </c>
      <c r="E351" s="331">
        <f t="shared" si="80"/>
        <v>87.89</v>
      </c>
      <c r="F351" s="331">
        <f t="shared" si="80"/>
        <v>140.46</v>
      </c>
      <c r="G351" s="331">
        <f t="shared" si="80"/>
        <v>128.49</v>
      </c>
      <c r="H351" s="331">
        <f t="shared" si="80"/>
        <v>121.15</v>
      </c>
      <c r="I351" s="331">
        <f t="shared" si="80"/>
        <v>130.51</v>
      </c>
      <c r="J351" s="331">
        <f t="shared" si="80"/>
        <v>165.09</v>
      </c>
      <c r="K351" s="331">
        <f t="shared" si="80"/>
        <v>149.13</v>
      </c>
      <c r="L351" s="331">
        <f t="shared" si="80"/>
        <v>142.48000000000002</v>
      </c>
      <c r="M351" s="331">
        <f t="shared" si="80"/>
        <v>119.84</v>
      </c>
    </row>
    <row r="352" ht="12.75"/>
    <row r="353" spans="1:13" ht="12.75">
      <c r="A353" s="360" t="s">
        <v>123</v>
      </c>
      <c r="B353" s="330" t="s">
        <v>69</v>
      </c>
      <c r="C353" s="330" t="s">
        <v>25</v>
      </c>
      <c r="D353" s="330" t="s">
        <v>26</v>
      </c>
      <c r="E353" s="330" t="s">
        <v>27</v>
      </c>
      <c r="F353" s="330" t="s">
        <v>28</v>
      </c>
      <c r="G353" s="330" t="s">
        <v>47</v>
      </c>
      <c r="H353" s="330" t="s">
        <v>48</v>
      </c>
      <c r="I353" s="330" t="s">
        <v>49</v>
      </c>
      <c r="J353" s="330" t="s">
        <v>50</v>
      </c>
      <c r="K353" s="330" t="s">
        <v>51</v>
      </c>
      <c r="L353" s="330" t="s">
        <v>52</v>
      </c>
      <c r="M353" s="330" t="s">
        <v>53</v>
      </c>
    </row>
    <row r="354" spans="1:13" ht="12.75">
      <c r="A354" s="330" t="s">
        <v>124</v>
      </c>
      <c r="B354" s="331">
        <f>IF(K181=0,0,'Poliof40 - LIVROB'!$F$554*ROUND((B185+C185)/K181,0))</f>
        <v>0</v>
      </c>
      <c r="C354" s="331">
        <f>IF($K181=0,0,ROUND(D185/$K181,0))*'Poliof40 - LIVROB'!$F$554</f>
        <v>48.06</v>
      </c>
      <c r="D354" s="331">
        <f>IF($K181=0,0,ROUND(E185/$K181,0))*'Poliof40 - LIVROB'!$F$554</f>
        <v>32.04</v>
      </c>
      <c r="E354" s="331">
        <f>IF($K181=0,0,ROUND(F185/$K181,0))*'Poliof40 - LIVROB'!$F$554</f>
        <v>32.04</v>
      </c>
      <c r="F354" s="331">
        <f>IF($K181=0,0,ROUND(G185/$K181,0))*'Poliof40 - LIVROB'!$F$554</f>
        <v>48.06</v>
      </c>
      <c r="G354" s="331">
        <f>IF($K181=0,0,ROUND(H185/$K181,0))*'Poliof40 - LIVROB'!$F$554</f>
        <v>48.06</v>
      </c>
      <c r="H354" s="331">
        <f>IF($K181=0,0,ROUND(I185/$K181,0))*'Poliof40 - LIVROB'!$F$554</f>
        <v>32.04</v>
      </c>
      <c r="I354" s="331">
        <f>IF($K181=0,0,ROUND(J185/$K181,0))*'Poliof40 - LIVROB'!$F$554</f>
        <v>48.06</v>
      </c>
      <c r="J354" s="331">
        <f>IF($K181=0,0,ROUND(K185/$K181,0))*'Poliof40 - LIVROB'!$F$554</f>
        <v>48.06</v>
      </c>
      <c r="K354" s="331">
        <f>IF($K181=0,0,ROUND(L185/$K181,0))*'Poliof40 - LIVROB'!$F$554</f>
        <v>48.06</v>
      </c>
      <c r="L354" s="331">
        <f>IF($K181=0,0,ROUND(M185/$K181,0))*'Poliof40 - LIVROB'!$F$554</f>
        <v>48.06</v>
      </c>
      <c r="M354" s="331">
        <f>IF($K181=0,0,ROUND(N185/$K181,0))*'Poliof40 - LIVROB'!$F$554</f>
        <v>32.04</v>
      </c>
    </row>
    <row r="355" spans="1:13" ht="12.75">
      <c r="A355" s="330" t="s">
        <v>125</v>
      </c>
      <c r="B355" s="331">
        <f>IF(K188=0,0,'Poliof40 - LIVROB'!$F$555*ROUND((B192+C192)/K188,0))</f>
        <v>0</v>
      </c>
      <c r="C355" s="331">
        <f>IF($K188=0,0,ROUND(D192/$K188,0))*'Poliof40 - LIVROB'!$F$555</f>
        <v>28.8</v>
      </c>
      <c r="D355" s="331">
        <f>IF($K188=0,0,ROUND(E192/$K188,0))*'Poliof40 - LIVROB'!$F$555</f>
        <v>35.2</v>
      </c>
      <c r="E355" s="331">
        <f>IF($K188=0,0,ROUND(F192/$K188,0))*'Poliof40 - LIVROB'!$F$555</f>
        <v>35.2</v>
      </c>
      <c r="F355" s="331">
        <f>IF($K188=0,0,ROUND(G192/$K188,0))*'Poliof40 - LIVROB'!$F$555</f>
        <v>41.6</v>
      </c>
      <c r="G355" s="331">
        <f>IF($K188=0,0,ROUND(H192/$K188,0))*'Poliof40 - LIVROB'!$F$555</f>
        <v>41.6</v>
      </c>
      <c r="H355" s="331">
        <f>IF($K188=0,0,ROUND(I192/$K188,0))*'Poliof40 - LIVROB'!$F$555</f>
        <v>41.6</v>
      </c>
      <c r="I355" s="331">
        <f>IF($K188=0,0,ROUND(J192/$K188,0))*'Poliof40 - LIVROB'!$F$555</f>
        <v>57.6</v>
      </c>
      <c r="J355" s="331">
        <f>IF($K188=0,0,ROUND(K192/$K188,0))*'Poliof40 - LIVROB'!$F$555</f>
        <v>57.6</v>
      </c>
      <c r="K355" s="331">
        <f>IF($K188=0,0,ROUND(L192/$K188,0))*'Poliof40 - LIVROB'!$F$555</f>
        <v>57.6</v>
      </c>
      <c r="L355" s="331">
        <f>IF($K188=0,0,ROUND(M192/$K188,0))*'Poliof40 - LIVROB'!$F$555</f>
        <v>57.6</v>
      </c>
      <c r="M355" s="331">
        <f>IF($K188=0,0,ROUND(N192/$K188,0))*'Poliof40 - LIVROB'!$F$555</f>
        <v>57.6</v>
      </c>
    </row>
    <row r="356" spans="1:13" ht="12.75">
      <c r="A356" s="330" t="s">
        <v>126</v>
      </c>
      <c r="B356" s="331">
        <f>IF(K195=0,0,'Poliof40 - LIVROB'!$F$556*ROUND((B199+C199)/K195,0))</f>
        <v>0</v>
      </c>
      <c r="C356" s="331">
        <f>IF($K195=0,0,ROUND(D199/$K195,0))*'Poliof40 - LIVROB'!$F$556</f>
        <v>22.950000000000003</v>
      </c>
      <c r="D356" s="331">
        <f>IF($K195=0,0,ROUND(E199/$K195,0))*'Poliof40 - LIVROB'!$F$556</f>
        <v>16.200000000000003</v>
      </c>
      <c r="E356" s="331">
        <f>IF($K195=0,0,ROUND(F199/$K195,0))*'Poliof40 - LIVROB'!$F$556</f>
        <v>8.100000000000001</v>
      </c>
      <c r="F356" s="331">
        <f>IF($K195=0,0,ROUND(G199/$K195,0))*'Poliof40 - LIVROB'!$F$556</f>
        <v>40.5</v>
      </c>
      <c r="G356" s="331">
        <f>IF($K195=0,0,ROUND(H199/$K195,0))*'Poliof40 - LIVROB'!$F$556</f>
        <v>25.650000000000002</v>
      </c>
      <c r="H356" s="331">
        <f>IF($K195=0,0,ROUND(I199/$K195,0))*'Poliof40 - LIVROB'!$F$556</f>
        <v>17.55</v>
      </c>
      <c r="I356" s="331">
        <f>IF($K195=0,0,ROUND(J199/$K195,0))*'Poliof40 - LIVROB'!$F$556</f>
        <v>8.100000000000001</v>
      </c>
      <c r="J356" s="331">
        <f>IF($K195=0,0,ROUND(K199/$K195,0))*'Poliof40 - LIVROB'!$F$556</f>
        <v>43.2</v>
      </c>
      <c r="K356" s="331">
        <f>IF($K195=0,0,ROUND(L199/$K195,0))*'Poliof40 - LIVROB'!$F$556</f>
        <v>27</v>
      </c>
      <c r="L356" s="331">
        <f>IF($K195=0,0,ROUND(M199/$K195,0))*'Poliof40 - LIVROB'!$F$556</f>
        <v>18.900000000000002</v>
      </c>
      <c r="M356" s="331">
        <f>IF($K195=0,0,ROUND(N199/$K195,0))*'Poliof40 - LIVROB'!$F$556</f>
        <v>9.450000000000001</v>
      </c>
    </row>
    <row r="357" spans="1:13" ht="12.75">
      <c r="A357" s="330" t="s">
        <v>127</v>
      </c>
      <c r="B357" s="331">
        <f>IF(K202=0,0,'Poliof40 - LIVROB'!$F$557*ROUND((B206+C206)/K202,0))</f>
        <v>0</v>
      </c>
      <c r="C357" s="331">
        <f>IF($K202=0,0,ROUND(D206/$K202,0))*'Poliof40 - LIVROB'!$F$557</f>
        <v>29.700000000000003</v>
      </c>
      <c r="D357" s="331">
        <f>IF($K202=0,0,ROUND(E206/$K202,0))*'Poliof40 - LIVROB'!$F$557</f>
        <v>29.700000000000003</v>
      </c>
      <c r="E357" s="331">
        <f>IF($K202=0,0,ROUND(F206/$K202,0))*'Poliof40 - LIVROB'!$F$557</f>
        <v>29.700000000000003</v>
      </c>
      <c r="F357" s="331">
        <f>IF($K202=0,0,ROUND(G206/$K202,0))*'Poliof40 - LIVROB'!$F$557</f>
        <v>29.700000000000003</v>
      </c>
      <c r="G357" s="331">
        <f>IF($K202=0,0,ROUND(H206/$K202,0))*'Poliof40 - LIVROB'!$F$557</f>
        <v>32.400000000000006</v>
      </c>
      <c r="H357" s="331">
        <f>IF($K202=0,0,ROUND(I206/$K202,0))*'Poliof40 - LIVROB'!$F$557</f>
        <v>54</v>
      </c>
      <c r="I357" s="331">
        <f>IF($K202=0,0,ROUND(J206/$K202,0))*'Poliof40 - LIVROB'!$F$557</f>
        <v>54</v>
      </c>
      <c r="J357" s="331">
        <f>IF($K202=0,0,ROUND(K206/$K202,0))*'Poliof40 - LIVROB'!$F$557</f>
        <v>54</v>
      </c>
      <c r="K357" s="331">
        <f>IF($K202=0,0,ROUND(L206/$K202,0))*'Poliof40 - LIVROB'!$F$557</f>
        <v>54</v>
      </c>
      <c r="L357" s="331">
        <f>IF($K202=0,0,ROUND(M206/$K202,0))*'Poliof40 - LIVROB'!$F$557</f>
        <v>54</v>
      </c>
      <c r="M357" s="331">
        <f>IF($K202=0,0,ROUND(N206/$K202,0))*'Poliof40 - LIVROB'!$F$557</f>
        <v>54</v>
      </c>
    </row>
    <row r="358" spans="1:13" ht="12.75">
      <c r="A358" s="330" t="s">
        <v>128</v>
      </c>
      <c r="B358" s="331">
        <f>IF(K209=0,0,'Poliof40 - LIVROB'!$F$558*ROUND((B213+C213)/K209,0))</f>
        <v>0</v>
      </c>
      <c r="C358" s="331">
        <f>IF($K209=0,0,ROUND(D213/$K209,0))*'Poliof40 - LIVROB'!$F$558</f>
        <v>19.200000000000003</v>
      </c>
      <c r="D358" s="331">
        <f>IF($K209=0,0,ROUND(E213/$K209,0))*'Poliof40 - LIVROB'!$F$558</f>
        <v>28.8</v>
      </c>
      <c r="E358" s="331">
        <f>IF($K209=0,0,ROUND(F213/$K209,0))*'Poliof40 - LIVROB'!$F$558</f>
        <v>28.8</v>
      </c>
      <c r="F358" s="331">
        <f>IF($K209=0,0,ROUND(G213/$K209,0))*'Poliof40 - LIVROB'!$F$558</f>
        <v>38.400000000000006</v>
      </c>
      <c r="G358" s="331">
        <f>IF($K209=0,0,ROUND(H213/$K209,0))*'Poliof40 - LIVROB'!$F$558</f>
        <v>38.400000000000006</v>
      </c>
      <c r="H358" s="331">
        <f>IF($K209=0,0,ROUND(I213/$K209,0))*'Poliof40 - LIVROB'!$F$558</f>
        <v>38.400000000000006</v>
      </c>
      <c r="I358" s="331">
        <f>IF($K209=0,0,ROUND(J213/$K209,0))*'Poliof40 - LIVROB'!$F$558</f>
        <v>38.400000000000006</v>
      </c>
      <c r="J358" s="331">
        <f>IF($K209=0,0,ROUND(K213/$K209,0))*'Poliof40 - LIVROB'!$F$558</f>
        <v>38.400000000000006</v>
      </c>
      <c r="K358" s="331">
        <f>IF($K209=0,0,ROUND(L213/$K209,0))*'Poliof40 - LIVROB'!$F$558</f>
        <v>38.400000000000006</v>
      </c>
      <c r="L358" s="331">
        <f>IF($K209=0,0,ROUND(M213/$K209,0))*'Poliof40 - LIVROB'!$F$558</f>
        <v>38.400000000000006</v>
      </c>
      <c r="M358" s="331">
        <f>IF($K209=0,0,ROUND(N213/$K209,0))*'Poliof40 - LIVROB'!$F$558</f>
        <v>38.400000000000006</v>
      </c>
    </row>
    <row r="359" spans="1:13" ht="12.75" hidden="1">
      <c r="A359" s="330" t="s">
        <v>62</v>
      </c>
      <c r="B359" s="334" t="s">
        <v>0</v>
      </c>
      <c r="C359" s="331">
        <f>'Poliof40 - LIVROB'!$F$543*C120</f>
        <v>0</v>
      </c>
      <c r="D359" s="331">
        <f>'Poliof40 - LIVROB'!$F$543*D120</f>
        <v>0</v>
      </c>
      <c r="E359" s="331">
        <f>'Poliof40 - LIVROB'!$F$543*E120</f>
        <v>0</v>
      </c>
      <c r="F359" s="331">
        <f>'Poliof40 - LIVROB'!$F$543*F120</f>
        <v>0</v>
      </c>
      <c r="G359" s="331">
        <f>'Poliof40 - LIVROB'!$F$543*G120</f>
        <v>0</v>
      </c>
      <c r="H359" s="331">
        <f>'Poliof40 - LIVROB'!$F$543*H120</f>
        <v>0</v>
      </c>
      <c r="I359" s="331">
        <f>'Poliof40 - LIVROB'!$F$543*I120</f>
        <v>0</v>
      </c>
      <c r="J359" s="331">
        <f>'Poliof40 - LIVROB'!$F$543*J120</f>
        <v>0</v>
      </c>
      <c r="K359" s="331">
        <f>'Poliof40 - LIVROB'!$F$543*K120</f>
        <v>0</v>
      </c>
      <c r="L359" s="331">
        <f>'Poliof40 - LIVROB'!$F$543*L120</f>
        <v>0</v>
      </c>
      <c r="M359" s="331">
        <f>'Poliof40 - LIVROB'!$F$543*M120</f>
        <v>0</v>
      </c>
    </row>
    <row r="360" spans="1:13" ht="12.75" hidden="1">
      <c r="A360" s="330" t="s">
        <v>63</v>
      </c>
      <c r="B360" s="334" t="s">
        <v>0</v>
      </c>
      <c r="C360" s="331">
        <f>'Poliof40 - LIVROB'!$F$544*C127</f>
        <v>0</v>
      </c>
      <c r="D360" s="331">
        <f>'Poliof40 - LIVROB'!$F$544*D127</f>
        <v>0</v>
      </c>
      <c r="E360" s="331">
        <f>'Poliof40 - LIVROB'!$F$544*E127</f>
        <v>0</v>
      </c>
      <c r="F360" s="331">
        <f>'Poliof40 - LIVROB'!$F$544*F127</f>
        <v>0</v>
      </c>
      <c r="G360" s="331">
        <f>'Poliof40 - LIVROB'!$F$544*G127</f>
        <v>0</v>
      </c>
      <c r="H360" s="331">
        <f>'Poliof40 - LIVROB'!$F$544*H127</f>
        <v>0</v>
      </c>
      <c r="I360" s="331">
        <f>'Poliof40 - LIVROB'!$F$544*I127</f>
        <v>0</v>
      </c>
      <c r="J360" s="331">
        <f>'Poliof40 - LIVROB'!$F$544*J127</f>
        <v>0</v>
      </c>
      <c r="K360" s="331">
        <f>'Poliof40 - LIVROB'!$F$544*K127</f>
        <v>0</v>
      </c>
      <c r="L360" s="331">
        <f>'Poliof40 - LIVROB'!$F$544*L127</f>
        <v>0</v>
      </c>
      <c r="M360" s="331">
        <f>'Poliof40 - LIVROB'!$F$544*M127</f>
        <v>0</v>
      </c>
    </row>
    <row r="361" spans="1:14" ht="12.75">
      <c r="A361" s="330" t="s">
        <v>129</v>
      </c>
      <c r="B361" s="331">
        <f>SUM(B354:B358)</f>
        <v>0</v>
      </c>
      <c r="C361" s="331">
        <f aca="true" t="shared" si="81" ref="C361:M361">SUM(C354:C360)</f>
        <v>148.70999999999998</v>
      </c>
      <c r="D361" s="331">
        <f t="shared" si="81"/>
        <v>141.94000000000003</v>
      </c>
      <c r="E361" s="331">
        <f t="shared" si="81"/>
        <v>133.84</v>
      </c>
      <c r="F361" s="331">
        <f t="shared" si="81"/>
        <v>198.26000000000002</v>
      </c>
      <c r="G361" s="331">
        <f t="shared" si="81"/>
        <v>186.11</v>
      </c>
      <c r="H361" s="331">
        <f t="shared" si="81"/>
        <v>183.59</v>
      </c>
      <c r="I361" s="331">
        <f t="shared" si="81"/>
        <v>206.16</v>
      </c>
      <c r="J361" s="331">
        <f t="shared" si="81"/>
        <v>241.26000000000002</v>
      </c>
      <c r="K361" s="331">
        <f t="shared" si="81"/>
        <v>225.06</v>
      </c>
      <c r="L361" s="331">
        <f t="shared" si="81"/>
        <v>216.96</v>
      </c>
      <c r="M361" s="331">
        <f t="shared" si="81"/>
        <v>191.49</v>
      </c>
      <c r="N361" s="16" t="s">
        <v>0</v>
      </c>
    </row>
    <row r="362" ht="12.75"/>
    <row r="363" spans="1:13" ht="12.75">
      <c r="A363" s="360" t="s">
        <v>130</v>
      </c>
      <c r="B363" s="330" t="s">
        <v>69</v>
      </c>
      <c r="C363" s="330" t="s">
        <v>25</v>
      </c>
      <c r="D363" s="330" t="s">
        <v>26</v>
      </c>
      <c r="E363" s="330" t="s">
        <v>27</v>
      </c>
      <c r="F363" s="330" t="s">
        <v>28</v>
      </c>
      <c r="G363" s="330" t="s">
        <v>47</v>
      </c>
      <c r="H363" s="330" t="s">
        <v>48</v>
      </c>
      <c r="I363" s="330" t="s">
        <v>49</v>
      </c>
      <c r="J363" s="330" t="s">
        <v>50</v>
      </c>
      <c r="K363" s="330" t="s">
        <v>51</v>
      </c>
      <c r="L363" s="330" t="s">
        <v>52</v>
      </c>
      <c r="M363" s="330" t="s">
        <v>53</v>
      </c>
    </row>
    <row r="364" spans="1:13" ht="12.75">
      <c r="A364" s="330" t="s">
        <v>131</v>
      </c>
      <c r="B364" s="331">
        <f>IF(K256=0,0,'Poliof40 - LIVROB'!$F$560*ROUND((B260+C260)/K256,0))</f>
        <v>0</v>
      </c>
      <c r="C364" s="331">
        <f>IF($K256=0,0,ROUND(D260/$K256,0))*'Poliof40 - LIVROB'!$F$560</f>
        <v>4.62</v>
      </c>
      <c r="D364" s="331">
        <f>IF($K256=0,0,ROUND(E260/$K256,0))*'Poliof40 - LIVROB'!$F$560</f>
        <v>8.58</v>
      </c>
      <c r="E364" s="331">
        <f>IF($K256=0,0,ROUND(F260/$K256,0))*'Poliof40 - LIVROB'!$F$560</f>
        <v>11.22</v>
      </c>
      <c r="F364" s="331">
        <f>IF($K256=0,0,ROUND(G260/$K256,0))*'Poliof40 - LIVROB'!$F$560</f>
        <v>11.22</v>
      </c>
      <c r="G364" s="331">
        <f>IF($K256=0,0,ROUND(H260/$K256,0))*'Poliof40 - LIVROB'!$F$560</f>
        <v>9.24</v>
      </c>
      <c r="H364" s="331">
        <f>IF($K256=0,0,ROUND(I260/$K256,0))*'Poliof40 - LIVROB'!$F$560</f>
        <v>13.200000000000001</v>
      </c>
      <c r="I364" s="331">
        <f>IF($K256=0,0,ROUND(J260/$K256,0))*'Poliof40 - LIVROB'!$F$560</f>
        <v>13.200000000000001</v>
      </c>
      <c r="J364" s="331">
        <f>IF($K256=0,0,ROUND(K260/$K256,0))*'Poliof40 - LIVROB'!$F$560</f>
        <v>13.200000000000001</v>
      </c>
      <c r="K364" s="331">
        <f>IF($K256=0,0,ROUND(L260/$K256,0))*'Poliof40 - LIVROB'!$F$560</f>
        <v>13.200000000000001</v>
      </c>
      <c r="L364" s="331">
        <f>IF($K256=0,0,ROUND(M260/$K256,0))*'Poliof40 - LIVROB'!$F$560</f>
        <v>10.89</v>
      </c>
      <c r="M364" s="331">
        <f>IF($K256=0,0,ROUND(N260/$K256,0))*'Poliof40 - LIVROB'!$F$560</f>
        <v>0</v>
      </c>
    </row>
    <row r="365" spans="1:13" ht="12.75">
      <c r="A365" s="330" t="s">
        <v>132</v>
      </c>
      <c r="B365" s="331">
        <f>IF(K263=0,0,'Poliof40 - LIVROB'!$F$561*ROUND((B267+C267)/K263,0))</f>
        <v>0</v>
      </c>
      <c r="C365" s="331">
        <f>IF($K263=0,0,ROUND(D267/$K263,0))*'Poliof40 - LIVROB'!$F$561</f>
        <v>3.06</v>
      </c>
      <c r="D365" s="331">
        <f>IF($K263=0,0,ROUND(E267/$K263,0))*'Poliof40 - LIVROB'!$F$561</f>
        <v>6.630000000000001</v>
      </c>
      <c r="E365" s="331">
        <f>IF($K263=0,0,ROUND(F267/$K263,0))*'Poliof40 - LIVROB'!$F$561</f>
        <v>12.41</v>
      </c>
      <c r="F365" s="331">
        <f>IF($K263=0,0,ROUND(G267/$K263,0))*'Poliof40 - LIVROB'!$F$561</f>
        <v>10.540000000000001</v>
      </c>
      <c r="G365" s="331">
        <f>IF($K263=0,0,ROUND(H267/$K263,0))*'Poliof40 - LIVROB'!$F$561</f>
        <v>11.05</v>
      </c>
      <c r="H365" s="331">
        <f>IF($K263=0,0,ROUND(I267/$K263,0))*'Poliof40 - LIVROB'!$F$561</f>
        <v>9.350000000000001</v>
      </c>
      <c r="I365" s="331">
        <f>IF($K263=0,0,ROUND(J267/$K263,0))*'Poliof40 - LIVROB'!$F$561</f>
        <v>14.620000000000001</v>
      </c>
      <c r="J365" s="331">
        <f>IF($K263=0,0,ROUND(K267/$K263,0))*'Poliof40 - LIVROB'!$F$561</f>
        <v>12.24</v>
      </c>
      <c r="K365" s="331">
        <f>IF($K263=0,0,ROUND(L267/$K263,0))*'Poliof40 - LIVROB'!$F$561</f>
        <v>11.22</v>
      </c>
      <c r="L365" s="331">
        <f>IF($K263=0,0,ROUND(M267/$K263,0))*'Poliof40 - LIVROB'!$F$561</f>
        <v>9.520000000000001</v>
      </c>
      <c r="M365" s="331">
        <f>IF($K263=0,0,ROUND(N267/$K263,0))*'Poliof40 - LIVROB'!$F$561</f>
        <v>0</v>
      </c>
    </row>
    <row r="366" spans="1:13" ht="12.75">
      <c r="A366" s="330" t="s">
        <v>133</v>
      </c>
      <c r="B366" s="331">
        <f>IF(K270=0,0,'Poliof40 - LIVROB'!$F$562*ROUND((B274+C274)/K270,0))</f>
        <v>0</v>
      </c>
      <c r="C366" s="331">
        <f>IF($K270=0,0,ROUND(D274/$K270,0))*'Poliof40 - LIVROB'!$F$562</f>
        <v>4.95</v>
      </c>
      <c r="D366" s="331">
        <f>IF($K270=0,0,ROUND(E274/$K270,0))*'Poliof40 - LIVROB'!$F$562</f>
        <v>8.91</v>
      </c>
      <c r="E366" s="331">
        <f>IF($K270=0,0,ROUND(F274/$K270,0))*'Poliof40 - LIVROB'!$F$562</f>
        <v>11.88</v>
      </c>
      <c r="F366" s="331">
        <f>IF($K270=0,0,ROUND(G274/$K270,0))*'Poliof40 - LIVROB'!$F$562</f>
        <v>11.88</v>
      </c>
      <c r="G366" s="331">
        <f>IF($K270=0,0,ROUND(H274/$K270,0))*'Poliof40 - LIVROB'!$F$562</f>
        <v>9.57</v>
      </c>
      <c r="H366" s="331">
        <f>IF($K270=0,0,ROUND(I274/$K270,0))*'Poliof40 - LIVROB'!$F$562</f>
        <v>13.860000000000001</v>
      </c>
      <c r="I366" s="331">
        <f>IF($K270=0,0,ROUND(J274/$K270,0))*'Poliof40 - LIVROB'!$F$562</f>
        <v>13.860000000000001</v>
      </c>
      <c r="J366" s="331">
        <f>IF($K270=0,0,ROUND(K274/$K270,0))*'Poliof40 - LIVROB'!$F$562</f>
        <v>13.860000000000001</v>
      </c>
      <c r="K366" s="331">
        <f>IF($K270=0,0,ROUND(L274/$K270,0))*'Poliof40 - LIVROB'!$F$562</f>
        <v>13.860000000000001</v>
      </c>
      <c r="L366" s="331">
        <f>IF($K270=0,0,ROUND(M274/$K270,0))*'Poliof40 - LIVROB'!$F$562</f>
        <v>11.55</v>
      </c>
      <c r="M366" s="331">
        <f>IF($K270=0,0,ROUND(N274/$K270,0))*'Poliof40 - LIVROB'!$F$562</f>
        <v>0</v>
      </c>
    </row>
    <row r="367" spans="1:13" ht="12.75">
      <c r="A367" s="330" t="s">
        <v>134</v>
      </c>
      <c r="B367" s="331">
        <f>IF(K277=0,0,'Poliof40 - LIVROB'!$F$563*ROUND((B281+C281)/K277,0))</f>
        <v>0</v>
      </c>
      <c r="C367" s="331">
        <f>IF($K277=0,0,ROUND(D281/$K277,0))*'Poliof40 - LIVROB'!$F$563</f>
        <v>10.5</v>
      </c>
      <c r="D367" s="331">
        <f>IF($K277=0,0,ROUND(E281/$K277,0))*'Poliof40 - LIVROB'!$F$563</f>
        <v>13.5</v>
      </c>
      <c r="E367" s="331">
        <f>IF($K277=0,0,ROUND(F281/$K277,0))*'Poliof40 - LIVROB'!$F$563</f>
        <v>22.25</v>
      </c>
      <c r="F367" s="331">
        <f>IF($K277=0,0,ROUND(G281/$K277,0))*'Poliof40 - LIVROB'!$F$563</f>
        <v>19.75</v>
      </c>
      <c r="G367" s="331">
        <f>IF($K277=0,0,ROUND(H281/$K277,0))*'Poliof40 - LIVROB'!$F$563</f>
        <v>22.75</v>
      </c>
      <c r="H367" s="331">
        <f>IF($K277=0,0,ROUND(I281/$K277,0))*'Poliof40 - LIVROB'!$F$563</f>
        <v>20.5</v>
      </c>
      <c r="I367" s="331">
        <f>IF($K277=0,0,ROUND(J281/$K277,0))*'Poliof40 - LIVROB'!$F$563</f>
        <v>28.25</v>
      </c>
      <c r="J367" s="331">
        <f>IF($K277=0,0,ROUND(K281/$K277,0))*'Poliof40 - LIVROB'!$F$563</f>
        <v>24.75</v>
      </c>
      <c r="K367" s="331">
        <f>IF($K277=0,0,ROUND(L281/$K277,0))*'Poliof40 - LIVROB'!$F$563</f>
        <v>23</v>
      </c>
      <c r="L367" s="331">
        <f>IF($K277=0,0,ROUND(M281/$K277,0))*'Poliof40 - LIVROB'!$F$563</f>
        <v>21</v>
      </c>
      <c r="M367" s="331">
        <f>IF($K277=0,0,ROUND(N281/$K277,0))*'Poliof40 - LIVROB'!$F$563</f>
        <v>0</v>
      </c>
    </row>
    <row r="368" spans="1:13" ht="12.75">
      <c r="A368" s="330" t="s">
        <v>129</v>
      </c>
      <c r="B368" s="331">
        <f aca="true" t="shared" si="82" ref="B368:M368">SUM(B364:B367)</f>
        <v>0</v>
      </c>
      <c r="C368" s="331">
        <f t="shared" si="82"/>
        <v>23.13</v>
      </c>
      <c r="D368" s="331">
        <f t="shared" si="82"/>
        <v>37.620000000000005</v>
      </c>
      <c r="E368" s="331">
        <f t="shared" si="82"/>
        <v>57.760000000000005</v>
      </c>
      <c r="F368" s="331">
        <f t="shared" si="82"/>
        <v>53.39</v>
      </c>
      <c r="G368" s="331">
        <f t="shared" si="82"/>
        <v>52.61</v>
      </c>
      <c r="H368" s="331">
        <f t="shared" si="82"/>
        <v>56.910000000000004</v>
      </c>
      <c r="I368" s="331">
        <f t="shared" si="82"/>
        <v>69.93</v>
      </c>
      <c r="J368" s="331">
        <f t="shared" si="82"/>
        <v>64.05000000000001</v>
      </c>
      <c r="K368" s="331">
        <f t="shared" si="82"/>
        <v>61.28</v>
      </c>
      <c r="L368" s="331">
        <f t="shared" si="82"/>
        <v>52.96000000000001</v>
      </c>
      <c r="M368" s="331">
        <f t="shared" si="82"/>
        <v>0</v>
      </c>
    </row>
    <row r="369" ht="12.75"/>
    <row r="370" spans="1:15" s="121" customFormat="1" ht="13.5" thickBot="1">
      <c r="A370" s="111"/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226"/>
    </row>
    <row r="371" spans="1:15" s="104" customFormat="1" ht="12.75" customHeight="1" thickTop="1">
      <c r="A371" s="434"/>
      <c r="B371" s="435"/>
      <c r="C371" s="435"/>
      <c r="D371" s="435"/>
      <c r="E371" s="435"/>
      <c r="F371" s="435"/>
      <c r="G371" s="435"/>
      <c r="H371" s="435"/>
      <c r="I371" s="435"/>
      <c r="J371" s="435"/>
      <c r="K371" s="435"/>
      <c r="L371" s="435"/>
      <c r="M371" s="435"/>
      <c r="N371" s="435"/>
      <c r="O371" s="436"/>
    </row>
    <row r="372" spans="1:15" s="104" customFormat="1" ht="12.75" customHeight="1">
      <c r="A372" s="437"/>
      <c r="B372" s="438"/>
      <c r="C372" s="438"/>
      <c r="D372" s="438"/>
      <c r="E372" s="438"/>
      <c r="F372" s="438"/>
      <c r="G372" s="438"/>
      <c r="H372" s="438"/>
      <c r="I372" s="438"/>
      <c r="J372" s="438"/>
      <c r="K372" s="438"/>
      <c r="L372" s="438"/>
      <c r="M372" s="438"/>
      <c r="N372" s="438"/>
      <c r="O372" s="439"/>
    </row>
    <row r="373" spans="1:15" s="104" customFormat="1" ht="12.75">
      <c r="A373" s="437"/>
      <c r="B373" s="438" t="s">
        <v>69</v>
      </c>
      <c r="C373" s="438" t="s">
        <v>25</v>
      </c>
      <c r="D373" s="438" t="s">
        <v>26</v>
      </c>
      <c r="E373" s="438" t="s">
        <v>27</v>
      </c>
      <c r="F373" s="438" t="s">
        <v>28</v>
      </c>
      <c r="G373" s="438" t="s">
        <v>47</v>
      </c>
      <c r="H373" s="438" t="s">
        <v>48</v>
      </c>
      <c r="I373" s="438" t="s">
        <v>49</v>
      </c>
      <c r="J373" s="438" t="s">
        <v>50</v>
      </c>
      <c r="K373" s="438" t="s">
        <v>51</v>
      </c>
      <c r="L373" s="438" t="s">
        <v>52</v>
      </c>
      <c r="M373" s="438" t="s">
        <v>53</v>
      </c>
      <c r="N373" s="438"/>
      <c r="O373" s="439"/>
    </row>
    <row r="374" spans="1:15" s="104" customFormat="1" ht="12.75">
      <c r="A374" s="440"/>
      <c r="B374" s="438">
        <f aca="true" t="shared" si="83" ref="B374:M374">IF(B306&lt;=$F$304,B306,$F$304)</f>
        <v>0</v>
      </c>
      <c r="C374" s="438">
        <f t="shared" si="83"/>
        <v>38.95</v>
      </c>
      <c r="D374" s="438">
        <f t="shared" si="83"/>
        <v>38.95</v>
      </c>
      <c r="E374" s="438">
        <f t="shared" si="83"/>
        <v>30.950000000000003</v>
      </c>
      <c r="F374" s="438">
        <f t="shared" si="83"/>
        <v>30.950000000000003</v>
      </c>
      <c r="G374" s="438">
        <f t="shared" si="83"/>
        <v>40</v>
      </c>
      <c r="H374" s="438">
        <f t="shared" si="83"/>
        <v>40</v>
      </c>
      <c r="I374" s="438">
        <f t="shared" si="83"/>
        <v>33.620000000000005</v>
      </c>
      <c r="J374" s="438">
        <f t="shared" si="83"/>
        <v>40</v>
      </c>
      <c r="K374" s="438">
        <f t="shared" si="83"/>
        <v>40</v>
      </c>
      <c r="L374" s="438">
        <f t="shared" si="83"/>
        <v>40</v>
      </c>
      <c r="M374" s="438">
        <f t="shared" si="83"/>
        <v>40</v>
      </c>
      <c r="N374" s="438"/>
      <c r="O374" s="439"/>
    </row>
    <row r="375" spans="1:15" s="104" customFormat="1" ht="12.75">
      <c r="A375" s="440"/>
      <c r="B375" s="438">
        <f aca="true" t="shared" si="84" ref="B375:M375">IF(B306&gt;$F$304,B306-$F$304,0)</f>
        <v>0</v>
      </c>
      <c r="C375" s="438">
        <f t="shared" si="84"/>
        <v>0</v>
      </c>
      <c r="D375" s="438">
        <f t="shared" si="84"/>
        <v>0</v>
      </c>
      <c r="E375" s="438">
        <f t="shared" si="84"/>
        <v>0</v>
      </c>
      <c r="F375" s="438">
        <f t="shared" si="84"/>
        <v>0</v>
      </c>
      <c r="G375" s="438">
        <f t="shared" si="84"/>
        <v>1.6200000000000045</v>
      </c>
      <c r="H375" s="438">
        <f t="shared" si="84"/>
        <v>1.6200000000000045</v>
      </c>
      <c r="I375" s="438">
        <f t="shared" si="84"/>
        <v>0</v>
      </c>
      <c r="J375" s="438">
        <f t="shared" si="84"/>
        <v>6.960000000000001</v>
      </c>
      <c r="K375" s="438">
        <f t="shared" si="84"/>
        <v>6.960000000000001</v>
      </c>
      <c r="L375" s="438">
        <f t="shared" si="84"/>
        <v>6.960000000000001</v>
      </c>
      <c r="M375" s="438">
        <f t="shared" si="84"/>
        <v>6.960000000000001</v>
      </c>
      <c r="N375" s="438"/>
      <c r="O375" s="439"/>
    </row>
    <row r="376" spans="1:15" s="104" customFormat="1" ht="12.75">
      <c r="A376" s="440"/>
      <c r="B376" s="438">
        <f>IF(B312&lt;=$F$310,B312,$F$310)</f>
        <v>0</v>
      </c>
      <c r="C376" s="438">
        <f aca="true" t="shared" si="85" ref="C376:M376">IF(C312&lt;=$F$310,C312,$F$310)</f>
        <v>68.48</v>
      </c>
      <c r="D376" s="438">
        <f t="shared" si="85"/>
        <v>65.80000000000001</v>
      </c>
      <c r="E376" s="438">
        <f t="shared" si="85"/>
        <v>53.74</v>
      </c>
      <c r="F376" s="438">
        <f t="shared" si="85"/>
        <v>45.7</v>
      </c>
      <c r="G376" s="438">
        <f t="shared" si="85"/>
        <v>80</v>
      </c>
      <c r="H376" s="438">
        <f t="shared" si="85"/>
        <v>72.72</v>
      </c>
      <c r="I376" s="438">
        <f t="shared" si="85"/>
        <v>75.4</v>
      </c>
      <c r="J376" s="438">
        <f t="shared" si="85"/>
        <v>66.02000000000001</v>
      </c>
      <c r="K376" s="438">
        <f t="shared" si="85"/>
        <v>80</v>
      </c>
      <c r="L376" s="438">
        <f t="shared" si="85"/>
        <v>80</v>
      </c>
      <c r="M376" s="438">
        <f t="shared" si="85"/>
        <v>76.74000000000001</v>
      </c>
      <c r="N376" s="438"/>
      <c r="O376" s="439"/>
    </row>
    <row r="377" spans="1:15" s="104" customFormat="1" ht="12.75">
      <c r="A377" s="440"/>
      <c r="B377" s="438">
        <f>IF(B312&gt;$F$310,B312-$F$310,0)</f>
        <v>0</v>
      </c>
      <c r="C377" s="438">
        <f aca="true" t="shared" si="86" ref="C377:M377">IF(C312&gt;$F$310,C312-$F$310,0)</f>
        <v>0</v>
      </c>
      <c r="D377" s="438">
        <f t="shared" si="86"/>
        <v>0</v>
      </c>
      <c r="E377" s="438">
        <f t="shared" si="86"/>
        <v>0</v>
      </c>
      <c r="F377" s="438">
        <f t="shared" si="86"/>
        <v>0</v>
      </c>
      <c r="G377" s="438">
        <f t="shared" si="86"/>
        <v>4.780000000000001</v>
      </c>
      <c r="H377" s="438">
        <f t="shared" si="86"/>
        <v>0</v>
      </c>
      <c r="I377" s="438">
        <f t="shared" si="86"/>
        <v>0</v>
      </c>
      <c r="J377" s="438">
        <f t="shared" si="86"/>
        <v>0</v>
      </c>
      <c r="K377" s="438">
        <f t="shared" si="86"/>
        <v>18.180000000000007</v>
      </c>
      <c r="L377" s="438">
        <f t="shared" si="86"/>
        <v>3.4399999999999977</v>
      </c>
      <c r="M377" s="438">
        <f t="shared" si="86"/>
        <v>0</v>
      </c>
      <c r="N377" s="438"/>
      <c r="O377" s="439"/>
    </row>
    <row r="378" spans="1:15" s="104" customFormat="1" ht="12.75">
      <c r="A378" s="440"/>
      <c r="B378" s="438">
        <f>IF(B322&lt;=$F$318,B322,$F$318)</f>
        <v>0</v>
      </c>
      <c r="C378" s="438">
        <f aca="true" t="shared" si="87" ref="C378:M378">IF(C322&lt;=$F$318,C322,$F$318)</f>
        <v>91.22</v>
      </c>
      <c r="D378" s="438">
        <f t="shared" si="87"/>
        <v>95.87</v>
      </c>
      <c r="E378" s="438">
        <f t="shared" si="87"/>
        <v>87.89</v>
      </c>
      <c r="F378" s="438">
        <f t="shared" si="87"/>
        <v>140.46</v>
      </c>
      <c r="G378" s="438">
        <f t="shared" si="87"/>
        <v>128.49</v>
      </c>
      <c r="H378" s="438">
        <f t="shared" si="87"/>
        <v>121.15</v>
      </c>
      <c r="I378" s="438">
        <f t="shared" si="87"/>
        <v>130.51</v>
      </c>
      <c r="J378" s="438">
        <f t="shared" si="87"/>
        <v>160</v>
      </c>
      <c r="K378" s="438">
        <f t="shared" si="87"/>
        <v>149.13</v>
      </c>
      <c r="L378" s="438">
        <f t="shared" si="87"/>
        <v>142.48000000000002</v>
      </c>
      <c r="M378" s="438">
        <f t="shared" si="87"/>
        <v>119.84</v>
      </c>
      <c r="N378" s="438"/>
      <c r="O378" s="439"/>
    </row>
    <row r="379" spans="1:15" s="104" customFormat="1" ht="12.75">
      <c r="A379" s="440"/>
      <c r="B379" s="438">
        <f>IF(B322&gt;$F$318,B322-$F$318,0)</f>
        <v>0</v>
      </c>
      <c r="C379" s="438">
        <f aca="true" t="shared" si="88" ref="C379:M379">IF(C322&gt;$F$318,C322-$F$318,0)</f>
        <v>0</v>
      </c>
      <c r="D379" s="438">
        <f t="shared" si="88"/>
        <v>0</v>
      </c>
      <c r="E379" s="438">
        <f t="shared" si="88"/>
        <v>0</v>
      </c>
      <c r="F379" s="438">
        <f t="shared" si="88"/>
        <v>0</v>
      </c>
      <c r="G379" s="438">
        <f t="shared" si="88"/>
        <v>0</v>
      </c>
      <c r="H379" s="438">
        <f t="shared" si="88"/>
        <v>0</v>
      </c>
      <c r="I379" s="438">
        <f t="shared" si="88"/>
        <v>0</v>
      </c>
      <c r="J379" s="438">
        <f t="shared" si="88"/>
        <v>5.090000000000003</v>
      </c>
      <c r="K379" s="438">
        <f t="shared" si="88"/>
        <v>0</v>
      </c>
      <c r="L379" s="438">
        <f t="shared" si="88"/>
        <v>0</v>
      </c>
      <c r="M379" s="438">
        <f t="shared" si="88"/>
        <v>0</v>
      </c>
      <c r="N379" s="438"/>
      <c r="O379" s="439"/>
    </row>
    <row r="380" spans="1:15" s="104" customFormat="1" ht="12.75">
      <c r="A380" s="440"/>
      <c r="B380" s="438">
        <f>IF(B328&lt;=$F$324,B328,$F$324)</f>
        <v>0</v>
      </c>
      <c r="C380" s="438">
        <f aca="true" t="shared" si="89" ref="C380:M380">IF(C328&lt;=$F$324,C328,$F$324)</f>
        <v>148.70999999999998</v>
      </c>
      <c r="D380" s="438">
        <f t="shared" si="89"/>
        <v>141.94000000000003</v>
      </c>
      <c r="E380" s="438">
        <f t="shared" si="89"/>
        <v>133.84</v>
      </c>
      <c r="F380" s="438">
        <f t="shared" si="89"/>
        <v>160</v>
      </c>
      <c r="G380" s="438">
        <f t="shared" si="89"/>
        <v>160</v>
      </c>
      <c r="H380" s="438">
        <f t="shared" si="89"/>
        <v>160</v>
      </c>
      <c r="I380" s="438">
        <f t="shared" si="89"/>
        <v>160</v>
      </c>
      <c r="J380" s="438">
        <f t="shared" si="89"/>
        <v>160</v>
      </c>
      <c r="K380" s="438">
        <f t="shared" si="89"/>
        <v>160</v>
      </c>
      <c r="L380" s="438">
        <f t="shared" si="89"/>
        <v>160</v>
      </c>
      <c r="M380" s="438">
        <f t="shared" si="89"/>
        <v>160</v>
      </c>
      <c r="N380" s="438"/>
      <c r="O380" s="439"/>
    </row>
    <row r="381" spans="1:15" s="104" customFormat="1" ht="12.75">
      <c r="A381" s="440"/>
      <c r="B381" s="438">
        <f>IF(B328&gt;$F$324,B328-$F$324,0)</f>
        <v>0</v>
      </c>
      <c r="C381" s="438">
        <f aca="true" t="shared" si="90" ref="C381:M381">IF(C328&gt;$F$324,C328-$F$324,0)</f>
        <v>0</v>
      </c>
      <c r="D381" s="438">
        <f t="shared" si="90"/>
        <v>0</v>
      </c>
      <c r="E381" s="438">
        <f t="shared" si="90"/>
        <v>0</v>
      </c>
      <c r="F381" s="438">
        <f t="shared" si="90"/>
        <v>38.26000000000002</v>
      </c>
      <c r="G381" s="438">
        <f t="shared" si="90"/>
        <v>26.110000000000014</v>
      </c>
      <c r="H381" s="438">
        <f t="shared" si="90"/>
        <v>23.590000000000003</v>
      </c>
      <c r="I381" s="438">
        <f t="shared" si="90"/>
        <v>46.16</v>
      </c>
      <c r="J381" s="438">
        <f t="shared" si="90"/>
        <v>81.26000000000002</v>
      </c>
      <c r="K381" s="438">
        <f t="shared" si="90"/>
        <v>65.06</v>
      </c>
      <c r="L381" s="438">
        <f t="shared" si="90"/>
        <v>56.96000000000001</v>
      </c>
      <c r="M381" s="438">
        <f t="shared" si="90"/>
        <v>31.49000000000001</v>
      </c>
      <c r="N381" s="438"/>
      <c r="O381" s="439"/>
    </row>
    <row r="382" spans="1:15" s="104" customFormat="1" ht="12.75">
      <c r="A382" s="440"/>
      <c r="B382" s="438">
        <f>IF(B336&lt;=$F$332,B336,$F$332)</f>
        <v>0</v>
      </c>
      <c r="C382" s="438">
        <f aca="true" t="shared" si="91" ref="C382:M382">IF(C336&lt;=$F$332,C336,$F$332)</f>
        <v>23.13</v>
      </c>
      <c r="D382" s="438">
        <f t="shared" si="91"/>
        <v>37.620000000000005</v>
      </c>
      <c r="E382" s="438">
        <f t="shared" si="91"/>
        <v>40</v>
      </c>
      <c r="F382" s="438">
        <f t="shared" si="91"/>
        <v>40</v>
      </c>
      <c r="G382" s="438">
        <f t="shared" si="91"/>
        <v>40</v>
      </c>
      <c r="H382" s="438">
        <f t="shared" si="91"/>
        <v>40</v>
      </c>
      <c r="I382" s="438">
        <f t="shared" si="91"/>
        <v>40</v>
      </c>
      <c r="J382" s="438">
        <f t="shared" si="91"/>
        <v>40</v>
      </c>
      <c r="K382" s="438">
        <f t="shared" si="91"/>
        <v>40</v>
      </c>
      <c r="L382" s="438">
        <f t="shared" si="91"/>
        <v>40</v>
      </c>
      <c r="M382" s="438">
        <f t="shared" si="91"/>
        <v>0</v>
      </c>
      <c r="N382" s="438"/>
      <c r="O382" s="439"/>
    </row>
    <row r="383" spans="1:15" s="104" customFormat="1" ht="12.75">
      <c r="A383" s="437"/>
      <c r="B383" s="438">
        <f>IF(B336&gt;$F$332,B336-$F$332,0)</f>
        <v>0</v>
      </c>
      <c r="C383" s="438">
        <f aca="true" t="shared" si="92" ref="C383:M383">IF(C336&gt;$F$332,C336-$F$332,0)</f>
        <v>0</v>
      </c>
      <c r="D383" s="438">
        <f t="shared" si="92"/>
        <v>0</v>
      </c>
      <c r="E383" s="438">
        <f t="shared" si="92"/>
        <v>17.760000000000005</v>
      </c>
      <c r="F383" s="438">
        <f t="shared" si="92"/>
        <v>13.39</v>
      </c>
      <c r="G383" s="438">
        <f t="shared" si="92"/>
        <v>12.61</v>
      </c>
      <c r="H383" s="438">
        <f t="shared" si="92"/>
        <v>16.910000000000004</v>
      </c>
      <c r="I383" s="438">
        <f t="shared" si="92"/>
        <v>29.930000000000007</v>
      </c>
      <c r="J383" s="438">
        <f t="shared" si="92"/>
        <v>24.05000000000001</v>
      </c>
      <c r="K383" s="438">
        <f t="shared" si="92"/>
        <v>21.28</v>
      </c>
      <c r="L383" s="438">
        <f t="shared" si="92"/>
        <v>12.960000000000008</v>
      </c>
      <c r="M383" s="438">
        <f t="shared" si="92"/>
        <v>0</v>
      </c>
      <c r="N383" s="438"/>
      <c r="O383" s="439"/>
    </row>
    <row r="384" spans="1:15" s="104" customFormat="1" ht="12.75">
      <c r="A384" s="437"/>
      <c r="B384" s="438"/>
      <c r="C384" s="438"/>
      <c r="D384" s="438"/>
      <c r="E384" s="438"/>
      <c r="F384" s="438"/>
      <c r="G384" s="438"/>
      <c r="H384" s="438"/>
      <c r="I384" s="438"/>
      <c r="J384" s="438"/>
      <c r="K384" s="438"/>
      <c r="L384" s="438"/>
      <c r="M384" s="438"/>
      <c r="N384" s="438"/>
      <c r="O384" s="439"/>
    </row>
    <row r="385" spans="1:15" s="104" customFormat="1" ht="12.75">
      <c r="A385" s="437"/>
      <c r="B385" s="438"/>
      <c r="C385" s="438"/>
      <c r="D385" s="438"/>
      <c r="E385" s="438"/>
      <c r="F385" s="438"/>
      <c r="G385" s="438"/>
      <c r="H385" s="438"/>
      <c r="I385" s="438"/>
      <c r="J385" s="438"/>
      <c r="K385" s="438"/>
      <c r="L385" s="438"/>
      <c r="M385" s="438"/>
      <c r="N385" s="438"/>
      <c r="O385" s="439"/>
    </row>
    <row r="386" spans="1:15" s="104" customFormat="1" ht="12.75">
      <c r="A386" s="437"/>
      <c r="B386" s="438"/>
      <c r="C386" s="438"/>
      <c r="D386" s="438"/>
      <c r="E386" s="438"/>
      <c r="F386" s="438"/>
      <c r="G386" s="438"/>
      <c r="H386" s="438"/>
      <c r="I386" s="438"/>
      <c r="J386" s="438"/>
      <c r="K386" s="438"/>
      <c r="L386" s="438"/>
      <c r="M386" s="438"/>
      <c r="N386" s="438"/>
      <c r="O386" s="439"/>
    </row>
    <row r="387" spans="1:15" s="104" customFormat="1" ht="12.75">
      <c r="A387" s="437"/>
      <c r="B387" s="438"/>
      <c r="C387" s="438"/>
      <c r="D387" s="438"/>
      <c r="E387" s="438"/>
      <c r="F387" s="438"/>
      <c r="G387" s="438"/>
      <c r="H387" s="438"/>
      <c r="I387" s="438"/>
      <c r="J387" s="438"/>
      <c r="K387" s="438"/>
      <c r="L387" s="438"/>
      <c r="M387" s="438"/>
      <c r="N387" s="438"/>
      <c r="O387" s="439"/>
    </row>
    <row r="388" spans="1:15" s="104" customFormat="1" ht="12.75">
      <c r="A388" s="437"/>
      <c r="B388" s="438"/>
      <c r="C388" s="438"/>
      <c r="D388" s="438"/>
      <c r="E388" s="438"/>
      <c r="F388" s="438"/>
      <c r="G388" s="438"/>
      <c r="H388" s="438"/>
      <c r="I388" s="438"/>
      <c r="J388" s="438"/>
      <c r="K388" s="438"/>
      <c r="L388" s="438"/>
      <c r="M388" s="438"/>
      <c r="N388" s="438"/>
      <c r="O388" s="439"/>
    </row>
    <row r="389" spans="1:15" s="104" customFormat="1" ht="12.75">
      <c r="A389" s="437"/>
      <c r="B389" s="438"/>
      <c r="C389" s="438"/>
      <c r="D389" s="438"/>
      <c r="E389" s="438"/>
      <c r="F389" s="438"/>
      <c r="G389" s="438"/>
      <c r="H389" s="438"/>
      <c r="I389" s="438"/>
      <c r="J389" s="438"/>
      <c r="K389" s="438"/>
      <c r="L389" s="438"/>
      <c r="M389" s="438"/>
      <c r="N389" s="438"/>
      <c r="O389" s="439"/>
    </row>
    <row r="390" spans="1:15" s="104" customFormat="1" ht="12.75">
      <c r="A390" s="437"/>
      <c r="B390" s="438"/>
      <c r="C390" s="438"/>
      <c r="D390" s="438"/>
      <c r="E390" s="438"/>
      <c r="F390" s="438"/>
      <c r="G390" s="438"/>
      <c r="H390" s="438"/>
      <c r="I390" s="438"/>
      <c r="J390" s="438"/>
      <c r="K390" s="438"/>
      <c r="L390" s="438"/>
      <c r="M390" s="438"/>
      <c r="N390" s="438"/>
      <c r="O390" s="439"/>
    </row>
    <row r="391" spans="1:15" s="104" customFormat="1" ht="12.75">
      <c r="A391" s="437"/>
      <c r="B391" s="438"/>
      <c r="C391" s="438"/>
      <c r="D391" s="438"/>
      <c r="E391" s="438"/>
      <c r="F391" s="438"/>
      <c r="G391" s="438"/>
      <c r="H391" s="438"/>
      <c r="I391" s="438"/>
      <c r="J391" s="438"/>
      <c r="K391" s="438"/>
      <c r="L391" s="438"/>
      <c r="M391" s="438"/>
      <c r="N391" s="438"/>
      <c r="O391" s="439"/>
    </row>
    <row r="392" spans="1:15" s="104" customFormat="1" ht="12.75">
      <c r="A392" s="437"/>
      <c r="B392" s="438"/>
      <c r="C392" s="438"/>
      <c r="D392" s="438"/>
      <c r="E392" s="438"/>
      <c r="F392" s="438"/>
      <c r="G392" s="438"/>
      <c r="H392" s="438"/>
      <c r="I392" s="438"/>
      <c r="J392" s="438"/>
      <c r="K392" s="438"/>
      <c r="L392" s="438"/>
      <c r="M392" s="438"/>
      <c r="N392" s="438"/>
      <c r="O392" s="439"/>
    </row>
    <row r="393" spans="1:15" s="104" customFormat="1" ht="12.75">
      <c r="A393" s="437"/>
      <c r="B393" s="438"/>
      <c r="C393" s="438"/>
      <c r="D393" s="438"/>
      <c r="E393" s="438"/>
      <c r="F393" s="438"/>
      <c r="G393" s="438"/>
      <c r="H393" s="438"/>
      <c r="I393" s="438"/>
      <c r="J393" s="438"/>
      <c r="K393" s="438"/>
      <c r="L393" s="438"/>
      <c r="M393" s="438"/>
      <c r="N393" s="438"/>
      <c r="O393" s="439"/>
    </row>
    <row r="394" spans="1:15" s="104" customFormat="1" ht="12.75">
      <c r="A394" s="437"/>
      <c r="B394" s="438"/>
      <c r="C394" s="438"/>
      <c r="D394" s="438"/>
      <c r="E394" s="438"/>
      <c r="F394" s="438"/>
      <c r="G394" s="438"/>
      <c r="H394" s="438"/>
      <c r="I394" s="438"/>
      <c r="J394" s="438"/>
      <c r="K394" s="438"/>
      <c r="L394" s="438"/>
      <c r="M394" s="438"/>
      <c r="N394" s="438"/>
      <c r="O394" s="439"/>
    </row>
    <row r="395" spans="1:15" s="104" customFormat="1" ht="12.75">
      <c r="A395" s="437"/>
      <c r="B395" s="438"/>
      <c r="C395" s="438"/>
      <c r="D395" s="438"/>
      <c r="E395" s="438"/>
      <c r="F395" s="438"/>
      <c r="G395" s="438"/>
      <c r="H395" s="438"/>
      <c r="I395" s="438"/>
      <c r="J395" s="438"/>
      <c r="K395" s="438"/>
      <c r="L395" s="438"/>
      <c r="M395" s="438"/>
      <c r="N395" s="438"/>
      <c r="O395" s="439"/>
    </row>
    <row r="396" spans="1:15" s="104" customFormat="1" ht="12.75">
      <c r="A396" s="437"/>
      <c r="B396" s="438"/>
      <c r="C396" s="438"/>
      <c r="D396" s="438"/>
      <c r="E396" s="438"/>
      <c r="F396" s="438"/>
      <c r="G396" s="438"/>
      <c r="H396" s="438"/>
      <c r="I396" s="438"/>
      <c r="J396" s="438"/>
      <c r="K396" s="438"/>
      <c r="L396" s="438"/>
      <c r="M396" s="438"/>
      <c r="N396" s="438"/>
      <c r="O396" s="439"/>
    </row>
    <row r="397" spans="1:15" s="104" customFormat="1" ht="12.75">
      <c r="A397" s="437"/>
      <c r="B397" s="438"/>
      <c r="C397" s="438"/>
      <c r="D397" s="438"/>
      <c r="E397" s="438"/>
      <c r="F397" s="438"/>
      <c r="G397" s="438"/>
      <c r="H397" s="438"/>
      <c r="I397" s="438"/>
      <c r="J397" s="438"/>
      <c r="K397" s="438"/>
      <c r="L397" s="438"/>
      <c r="M397" s="438"/>
      <c r="N397" s="438"/>
      <c r="O397" s="439"/>
    </row>
    <row r="398" spans="1:15" s="104" customFormat="1" ht="12.75">
      <c r="A398" s="437"/>
      <c r="B398" s="438"/>
      <c r="C398" s="438"/>
      <c r="D398" s="438"/>
      <c r="E398" s="438"/>
      <c r="F398" s="438"/>
      <c r="G398" s="438"/>
      <c r="H398" s="438"/>
      <c r="I398" s="438"/>
      <c r="J398" s="438"/>
      <c r="K398" s="438"/>
      <c r="L398" s="438"/>
      <c r="M398" s="438"/>
      <c r="N398" s="438"/>
      <c r="O398" s="439"/>
    </row>
    <row r="399" spans="1:15" s="104" customFormat="1" ht="12.75">
      <c r="A399" s="437"/>
      <c r="B399" s="438"/>
      <c r="C399" s="438"/>
      <c r="D399" s="438"/>
      <c r="E399" s="438"/>
      <c r="F399" s="438"/>
      <c r="G399" s="438"/>
      <c r="H399" s="438"/>
      <c r="I399" s="438"/>
      <c r="J399" s="438"/>
      <c r="K399" s="438"/>
      <c r="L399" s="438"/>
      <c r="M399" s="438"/>
      <c r="N399" s="438"/>
      <c r="O399" s="439"/>
    </row>
    <row r="400" spans="1:15" s="104" customFormat="1" ht="12.75">
      <c r="A400" s="437"/>
      <c r="B400" s="438"/>
      <c r="C400" s="438"/>
      <c r="D400" s="438"/>
      <c r="E400" s="438"/>
      <c r="F400" s="438"/>
      <c r="G400" s="438"/>
      <c r="H400" s="438"/>
      <c r="I400" s="438"/>
      <c r="J400" s="438"/>
      <c r="K400" s="438"/>
      <c r="L400" s="438"/>
      <c r="M400" s="438"/>
      <c r="N400" s="438"/>
      <c r="O400" s="439"/>
    </row>
    <row r="401" spans="1:15" s="104" customFormat="1" ht="12.75">
      <c r="A401" s="437"/>
      <c r="B401" s="438"/>
      <c r="C401" s="438"/>
      <c r="D401" s="438"/>
      <c r="E401" s="438"/>
      <c r="F401" s="438"/>
      <c r="G401" s="438"/>
      <c r="H401" s="438"/>
      <c r="I401" s="438"/>
      <c r="J401" s="438"/>
      <c r="K401" s="438"/>
      <c r="L401" s="438"/>
      <c r="M401" s="438"/>
      <c r="N401" s="438"/>
      <c r="O401" s="439"/>
    </row>
    <row r="402" spans="1:15" s="104" customFormat="1" ht="12.75">
      <c r="A402" s="437"/>
      <c r="B402" s="438"/>
      <c r="C402" s="438"/>
      <c r="D402" s="438"/>
      <c r="E402" s="438"/>
      <c r="F402" s="438"/>
      <c r="G402" s="438"/>
      <c r="H402" s="438"/>
      <c r="I402" s="438"/>
      <c r="J402" s="438"/>
      <c r="K402" s="438"/>
      <c r="L402" s="438"/>
      <c r="M402" s="438"/>
      <c r="N402" s="438"/>
      <c r="O402" s="439"/>
    </row>
    <row r="403" spans="1:15" s="104" customFormat="1" ht="12.75">
      <c r="A403" s="437"/>
      <c r="B403" s="438"/>
      <c r="C403" s="438"/>
      <c r="D403" s="438"/>
      <c r="E403" s="438"/>
      <c r="F403" s="438"/>
      <c r="G403" s="438"/>
      <c r="H403" s="438"/>
      <c r="I403" s="438"/>
      <c r="J403" s="438"/>
      <c r="K403" s="438"/>
      <c r="L403" s="438"/>
      <c r="M403" s="438"/>
      <c r="N403" s="438"/>
      <c r="O403" s="439"/>
    </row>
    <row r="404" spans="1:15" s="104" customFormat="1" ht="12.75">
      <c r="A404" s="437"/>
      <c r="B404" s="438"/>
      <c r="C404" s="438"/>
      <c r="D404" s="438"/>
      <c r="E404" s="438"/>
      <c r="F404" s="438"/>
      <c r="G404" s="438"/>
      <c r="H404" s="438"/>
      <c r="I404" s="438"/>
      <c r="J404" s="438"/>
      <c r="K404" s="438"/>
      <c r="L404" s="438"/>
      <c r="M404" s="438"/>
      <c r="N404" s="438"/>
      <c r="O404" s="439"/>
    </row>
    <row r="405" spans="1:15" s="104" customFormat="1" ht="12.75">
      <c r="A405" s="437"/>
      <c r="B405" s="438"/>
      <c r="C405" s="438"/>
      <c r="D405" s="438"/>
      <c r="E405" s="438"/>
      <c r="F405" s="438"/>
      <c r="G405" s="438"/>
      <c r="H405" s="438"/>
      <c r="I405" s="438"/>
      <c r="J405" s="438"/>
      <c r="K405" s="438"/>
      <c r="L405" s="438"/>
      <c r="M405" s="438"/>
      <c r="N405" s="438"/>
      <c r="O405" s="439"/>
    </row>
    <row r="406" spans="1:15" s="104" customFormat="1" ht="12.75">
      <c r="A406" s="437"/>
      <c r="B406" s="438"/>
      <c r="C406" s="438"/>
      <c r="D406" s="438"/>
      <c r="E406" s="438"/>
      <c r="F406" s="438"/>
      <c r="G406" s="438"/>
      <c r="H406" s="438"/>
      <c r="I406" s="438"/>
      <c r="J406" s="438"/>
      <c r="K406" s="438"/>
      <c r="L406" s="438"/>
      <c r="M406" s="438"/>
      <c r="N406" s="438"/>
      <c r="O406" s="439"/>
    </row>
    <row r="407" spans="1:15" s="104" customFormat="1" ht="12.75">
      <c r="A407" s="437"/>
      <c r="B407" s="438"/>
      <c r="C407" s="438"/>
      <c r="D407" s="438"/>
      <c r="E407" s="438"/>
      <c r="F407" s="438"/>
      <c r="G407" s="438"/>
      <c r="H407" s="438"/>
      <c r="I407" s="438"/>
      <c r="J407" s="438"/>
      <c r="K407" s="438"/>
      <c r="L407" s="438"/>
      <c r="M407" s="438"/>
      <c r="N407" s="438"/>
      <c r="O407" s="439"/>
    </row>
    <row r="408" spans="1:15" s="104" customFormat="1" ht="12.75">
      <c r="A408" s="437"/>
      <c r="B408" s="438"/>
      <c r="C408" s="438"/>
      <c r="D408" s="438"/>
      <c r="E408" s="438"/>
      <c r="F408" s="438"/>
      <c r="G408" s="438"/>
      <c r="H408" s="438"/>
      <c r="I408" s="438"/>
      <c r="J408" s="438"/>
      <c r="K408" s="438"/>
      <c r="L408" s="438"/>
      <c r="M408" s="438"/>
      <c r="N408" s="438"/>
      <c r="O408" s="439"/>
    </row>
    <row r="409" spans="1:15" s="104" customFormat="1" ht="12.75">
      <c r="A409" s="437"/>
      <c r="B409" s="438"/>
      <c r="C409" s="438"/>
      <c r="D409" s="438"/>
      <c r="E409" s="438"/>
      <c r="F409" s="438"/>
      <c r="G409" s="438"/>
      <c r="H409" s="438"/>
      <c r="I409" s="438"/>
      <c r="J409" s="438"/>
      <c r="K409" s="438"/>
      <c r="L409" s="438"/>
      <c r="M409" s="438"/>
      <c r="N409" s="438"/>
      <c r="O409" s="439"/>
    </row>
    <row r="410" spans="1:15" s="104" customFormat="1" ht="12.75">
      <c r="A410" s="437"/>
      <c r="B410" s="438"/>
      <c r="C410" s="438"/>
      <c r="D410" s="438"/>
      <c r="E410" s="438"/>
      <c r="F410" s="438"/>
      <c r="G410" s="438"/>
      <c r="H410" s="438"/>
      <c r="I410" s="438"/>
      <c r="J410" s="438"/>
      <c r="K410" s="438"/>
      <c r="L410" s="438"/>
      <c r="M410" s="438"/>
      <c r="N410" s="438"/>
      <c r="O410" s="439"/>
    </row>
    <row r="411" spans="1:15" s="104" customFormat="1" ht="12.75">
      <c r="A411" s="437"/>
      <c r="B411" s="438"/>
      <c r="C411" s="438"/>
      <c r="D411" s="438"/>
      <c r="E411" s="438"/>
      <c r="F411" s="438"/>
      <c r="G411" s="438"/>
      <c r="H411" s="438"/>
      <c r="I411" s="438"/>
      <c r="J411" s="438"/>
      <c r="K411" s="438"/>
      <c r="L411" s="438"/>
      <c r="M411" s="438"/>
      <c r="N411" s="438"/>
      <c r="O411" s="439"/>
    </row>
    <row r="412" spans="1:15" s="104" customFormat="1" ht="12.75">
      <c r="A412" s="437"/>
      <c r="B412" s="438"/>
      <c r="C412" s="438"/>
      <c r="D412" s="438"/>
      <c r="E412" s="438"/>
      <c r="F412" s="438"/>
      <c r="G412" s="438"/>
      <c r="H412" s="438"/>
      <c r="I412" s="438"/>
      <c r="J412" s="438"/>
      <c r="K412" s="438"/>
      <c r="L412" s="438"/>
      <c r="M412" s="438"/>
      <c r="N412" s="438"/>
      <c r="O412" s="439"/>
    </row>
    <row r="413" spans="1:15" s="104" customFormat="1" ht="12.75">
      <c r="A413" s="437"/>
      <c r="B413" s="438"/>
      <c r="C413" s="438"/>
      <c r="D413" s="438"/>
      <c r="E413" s="438"/>
      <c r="F413" s="438"/>
      <c r="G413" s="438"/>
      <c r="H413" s="438"/>
      <c r="I413" s="438"/>
      <c r="J413" s="438"/>
      <c r="K413" s="438"/>
      <c r="L413" s="438"/>
      <c r="M413" s="438"/>
      <c r="N413" s="438"/>
      <c r="O413" s="439"/>
    </row>
    <row r="414" spans="1:15" s="104" customFormat="1" ht="12.75">
      <c r="A414" s="437"/>
      <c r="B414" s="438"/>
      <c r="C414" s="438"/>
      <c r="D414" s="438"/>
      <c r="E414" s="438"/>
      <c r="F414" s="438"/>
      <c r="G414" s="438"/>
      <c r="H414" s="438"/>
      <c r="I414" s="438"/>
      <c r="J414" s="438"/>
      <c r="K414" s="438"/>
      <c r="L414" s="438"/>
      <c r="M414" s="438"/>
      <c r="N414" s="438"/>
      <c r="O414" s="439"/>
    </row>
    <row r="415" spans="1:15" s="104" customFormat="1" ht="12.75">
      <c r="A415" s="437"/>
      <c r="B415" s="438"/>
      <c r="C415" s="438"/>
      <c r="D415" s="438"/>
      <c r="E415" s="438"/>
      <c r="F415" s="438"/>
      <c r="G415" s="438"/>
      <c r="H415" s="438"/>
      <c r="I415" s="438"/>
      <c r="J415" s="438"/>
      <c r="K415" s="438"/>
      <c r="L415" s="438"/>
      <c r="M415" s="438"/>
      <c r="N415" s="438"/>
      <c r="O415" s="439"/>
    </row>
    <row r="416" spans="1:15" s="104" customFormat="1" ht="12.75">
      <c r="A416" s="437"/>
      <c r="B416" s="438"/>
      <c r="C416" s="438"/>
      <c r="D416" s="438"/>
      <c r="E416" s="438"/>
      <c r="F416" s="438"/>
      <c r="G416" s="438"/>
      <c r="H416" s="438"/>
      <c r="I416" s="438"/>
      <c r="J416" s="438"/>
      <c r="K416" s="438"/>
      <c r="L416" s="438"/>
      <c r="M416" s="438"/>
      <c r="N416" s="438"/>
      <c r="O416" s="439"/>
    </row>
    <row r="417" spans="1:15" s="104" customFormat="1" ht="12.75">
      <c r="A417" s="437"/>
      <c r="B417" s="438"/>
      <c r="C417" s="438"/>
      <c r="D417" s="438"/>
      <c r="E417" s="438"/>
      <c r="F417" s="438"/>
      <c r="G417" s="438"/>
      <c r="H417" s="438"/>
      <c r="I417" s="438"/>
      <c r="J417" s="438"/>
      <c r="K417" s="438"/>
      <c r="L417" s="438"/>
      <c r="M417" s="438"/>
      <c r="N417" s="438"/>
      <c r="O417" s="439"/>
    </row>
    <row r="418" spans="1:15" s="104" customFormat="1" ht="12.75">
      <c r="A418" s="437"/>
      <c r="B418" s="438"/>
      <c r="C418" s="438"/>
      <c r="D418" s="438"/>
      <c r="E418" s="438"/>
      <c r="F418" s="438"/>
      <c r="G418" s="438"/>
      <c r="H418" s="438"/>
      <c r="I418" s="438"/>
      <c r="J418" s="438"/>
      <c r="K418" s="438"/>
      <c r="L418" s="438"/>
      <c r="M418" s="438"/>
      <c r="N418" s="438"/>
      <c r="O418" s="439"/>
    </row>
    <row r="419" spans="1:15" s="104" customFormat="1" ht="12.75">
      <c r="A419" s="437"/>
      <c r="B419" s="438"/>
      <c r="C419" s="438"/>
      <c r="D419" s="438"/>
      <c r="E419" s="438"/>
      <c r="F419" s="438"/>
      <c r="G419" s="438"/>
      <c r="H419" s="438"/>
      <c r="I419" s="438"/>
      <c r="J419" s="438"/>
      <c r="K419" s="438"/>
      <c r="L419" s="438"/>
      <c r="M419" s="438"/>
      <c r="N419" s="438"/>
      <c r="O419" s="439"/>
    </row>
    <row r="420" spans="1:15" s="104" customFormat="1" ht="12.75">
      <c r="A420" s="437"/>
      <c r="B420" s="438"/>
      <c r="C420" s="438"/>
      <c r="D420" s="438"/>
      <c r="E420" s="438"/>
      <c r="F420" s="438"/>
      <c r="G420" s="438"/>
      <c r="H420" s="438"/>
      <c r="I420" s="438"/>
      <c r="J420" s="438"/>
      <c r="K420" s="438"/>
      <c r="L420" s="438"/>
      <c r="M420" s="438"/>
      <c r="N420" s="438"/>
      <c r="O420" s="439"/>
    </row>
    <row r="421" spans="1:15" s="104" customFormat="1" ht="12.75">
      <c r="A421" s="437"/>
      <c r="B421" s="438"/>
      <c r="C421" s="438"/>
      <c r="D421" s="438"/>
      <c r="E421" s="438"/>
      <c r="F421" s="438"/>
      <c r="G421" s="438"/>
      <c r="H421" s="438"/>
      <c r="I421" s="438"/>
      <c r="J421" s="438"/>
      <c r="K421" s="438"/>
      <c r="L421" s="438"/>
      <c r="M421" s="438"/>
      <c r="N421" s="438"/>
      <c r="O421" s="439"/>
    </row>
    <row r="422" spans="1:15" s="104" customFormat="1" ht="12.75">
      <c r="A422" s="437"/>
      <c r="B422" s="438"/>
      <c r="C422" s="438"/>
      <c r="D422" s="438"/>
      <c r="E422" s="438"/>
      <c r="F422" s="438"/>
      <c r="G422" s="438"/>
      <c r="H422" s="438"/>
      <c r="I422" s="438"/>
      <c r="J422" s="438"/>
      <c r="K422" s="438"/>
      <c r="L422" s="438"/>
      <c r="M422" s="438"/>
      <c r="N422" s="438"/>
      <c r="O422" s="439"/>
    </row>
    <row r="423" spans="1:15" s="104" customFormat="1" ht="12.75">
      <c r="A423" s="437"/>
      <c r="B423" s="438"/>
      <c r="C423" s="438"/>
      <c r="D423" s="438"/>
      <c r="E423" s="438"/>
      <c r="F423" s="438"/>
      <c r="G423" s="438"/>
      <c r="H423" s="438"/>
      <c r="I423" s="438"/>
      <c r="J423" s="438"/>
      <c r="K423" s="438"/>
      <c r="L423" s="438"/>
      <c r="M423" s="438"/>
      <c r="N423" s="438"/>
      <c r="O423" s="439"/>
    </row>
    <row r="424" spans="1:15" s="104" customFormat="1" ht="12.75">
      <c r="A424" s="437"/>
      <c r="B424" s="438"/>
      <c r="C424" s="438"/>
      <c r="D424" s="438"/>
      <c r="E424" s="438"/>
      <c r="F424" s="438"/>
      <c r="G424" s="438"/>
      <c r="H424" s="438"/>
      <c r="I424" s="438"/>
      <c r="J424" s="438"/>
      <c r="K424" s="438"/>
      <c r="L424" s="438"/>
      <c r="M424" s="438"/>
      <c r="N424" s="438"/>
      <c r="O424" s="439"/>
    </row>
    <row r="425" spans="1:15" s="104" customFormat="1" ht="12.75">
      <c r="A425" s="437"/>
      <c r="B425" s="438"/>
      <c r="C425" s="438"/>
      <c r="D425" s="438"/>
      <c r="E425" s="438"/>
      <c r="F425" s="438"/>
      <c r="G425" s="438"/>
      <c r="H425" s="438"/>
      <c r="I425" s="438"/>
      <c r="J425" s="438"/>
      <c r="K425" s="438"/>
      <c r="L425" s="438"/>
      <c r="M425" s="438"/>
      <c r="N425" s="438"/>
      <c r="O425" s="439"/>
    </row>
    <row r="426" spans="1:15" s="104" customFormat="1" ht="12.75">
      <c r="A426" s="437"/>
      <c r="B426" s="438"/>
      <c r="C426" s="438"/>
      <c r="D426" s="438"/>
      <c r="E426" s="438"/>
      <c r="F426" s="438"/>
      <c r="G426" s="438"/>
      <c r="H426" s="438"/>
      <c r="I426" s="438"/>
      <c r="J426" s="438"/>
      <c r="K426" s="438"/>
      <c r="L426" s="438"/>
      <c r="M426" s="438"/>
      <c r="N426" s="438"/>
      <c r="O426" s="439"/>
    </row>
    <row r="427" spans="1:15" s="104" customFormat="1" ht="12.75">
      <c r="A427" s="437"/>
      <c r="B427" s="438"/>
      <c r="C427" s="438"/>
      <c r="D427" s="438"/>
      <c r="E427" s="438"/>
      <c r="F427" s="438"/>
      <c r="G427" s="438"/>
      <c r="H427" s="438"/>
      <c r="I427" s="438"/>
      <c r="J427" s="438"/>
      <c r="K427" s="438"/>
      <c r="L427" s="438"/>
      <c r="M427" s="438"/>
      <c r="N427" s="438"/>
      <c r="O427" s="439"/>
    </row>
    <row r="428" spans="1:15" s="104" customFormat="1" ht="12.75">
      <c r="A428" s="437"/>
      <c r="B428" s="438"/>
      <c r="C428" s="438"/>
      <c r="D428" s="438"/>
      <c r="E428" s="438"/>
      <c r="F428" s="438"/>
      <c r="G428" s="438"/>
      <c r="H428" s="438"/>
      <c r="I428" s="438"/>
      <c r="J428" s="438"/>
      <c r="K428" s="438"/>
      <c r="L428" s="438"/>
      <c r="M428" s="438"/>
      <c r="N428" s="438"/>
      <c r="O428" s="439"/>
    </row>
    <row r="429" spans="1:15" s="104" customFormat="1" ht="12.75">
      <c r="A429" s="437"/>
      <c r="B429" s="438"/>
      <c r="C429" s="438"/>
      <c r="D429" s="438"/>
      <c r="E429" s="438"/>
      <c r="F429" s="438"/>
      <c r="G429" s="438"/>
      <c r="H429" s="438"/>
      <c r="I429" s="438"/>
      <c r="J429" s="438"/>
      <c r="K429" s="438"/>
      <c r="L429" s="438"/>
      <c r="M429" s="438"/>
      <c r="N429" s="438"/>
      <c r="O429" s="439"/>
    </row>
    <row r="430" spans="1:15" s="104" customFormat="1" ht="12.75">
      <c r="A430" s="437"/>
      <c r="B430" s="438"/>
      <c r="C430" s="438"/>
      <c r="D430" s="438"/>
      <c r="E430" s="438"/>
      <c r="F430" s="438"/>
      <c r="G430" s="438"/>
      <c r="H430" s="438"/>
      <c r="I430" s="438"/>
      <c r="J430" s="438"/>
      <c r="K430" s="438"/>
      <c r="L430" s="438"/>
      <c r="M430" s="438"/>
      <c r="N430" s="438"/>
      <c r="O430" s="439"/>
    </row>
    <row r="431" spans="1:15" s="104" customFormat="1" ht="12.75">
      <c r="A431" s="437"/>
      <c r="B431" s="438"/>
      <c r="C431" s="438"/>
      <c r="D431" s="438"/>
      <c r="E431" s="438"/>
      <c r="F431" s="438"/>
      <c r="G431" s="438"/>
      <c r="H431" s="438"/>
      <c r="I431" s="438"/>
      <c r="J431" s="438"/>
      <c r="K431" s="438"/>
      <c r="L431" s="438"/>
      <c r="M431" s="438"/>
      <c r="N431" s="438"/>
      <c r="O431" s="439"/>
    </row>
    <row r="432" spans="1:15" s="104" customFormat="1" ht="12.75">
      <c r="A432" s="437"/>
      <c r="B432" s="438"/>
      <c r="C432" s="438"/>
      <c r="D432" s="438"/>
      <c r="E432" s="438"/>
      <c r="F432" s="438"/>
      <c r="G432" s="438"/>
      <c r="H432" s="438"/>
      <c r="I432" s="438"/>
      <c r="J432" s="438"/>
      <c r="K432" s="438"/>
      <c r="L432" s="438"/>
      <c r="M432" s="438"/>
      <c r="N432" s="438"/>
      <c r="O432" s="439"/>
    </row>
    <row r="433" spans="1:15" s="104" customFormat="1" ht="12.75">
      <c r="A433" s="437"/>
      <c r="B433" s="438"/>
      <c r="C433" s="438"/>
      <c r="D433" s="438"/>
      <c r="E433" s="438"/>
      <c r="F433" s="438"/>
      <c r="G433" s="438"/>
      <c r="H433" s="438"/>
      <c r="I433" s="438"/>
      <c r="J433" s="438"/>
      <c r="K433" s="438"/>
      <c r="L433" s="438"/>
      <c r="M433" s="438"/>
      <c r="N433" s="438"/>
      <c r="O433" s="439"/>
    </row>
    <row r="434" spans="1:15" s="104" customFormat="1" ht="12.75">
      <c r="A434" s="437"/>
      <c r="B434" s="438"/>
      <c r="C434" s="438"/>
      <c r="D434" s="438"/>
      <c r="E434" s="438"/>
      <c r="F434" s="438"/>
      <c r="G434" s="438"/>
      <c r="H434" s="438"/>
      <c r="I434" s="438"/>
      <c r="J434" s="438"/>
      <c r="K434" s="438"/>
      <c r="L434" s="438"/>
      <c r="M434" s="438"/>
      <c r="N434" s="438"/>
      <c r="O434" s="439"/>
    </row>
    <row r="435" spans="1:15" s="104" customFormat="1" ht="12.75">
      <c r="A435" s="437"/>
      <c r="B435" s="438"/>
      <c r="C435" s="438"/>
      <c r="D435" s="438"/>
      <c r="E435" s="438"/>
      <c r="F435" s="438"/>
      <c r="G435" s="438"/>
      <c r="H435" s="438"/>
      <c r="I435" s="438"/>
      <c r="J435" s="438"/>
      <c r="K435" s="438"/>
      <c r="L435" s="438"/>
      <c r="M435" s="438"/>
      <c r="N435" s="438"/>
      <c r="O435" s="439"/>
    </row>
    <row r="436" spans="1:15" s="104" customFormat="1" ht="12.75">
      <c r="A436" s="437"/>
      <c r="B436" s="438"/>
      <c r="C436" s="438"/>
      <c r="D436" s="438"/>
      <c r="E436" s="438"/>
      <c r="F436" s="438"/>
      <c r="G436" s="438"/>
      <c r="H436" s="438"/>
      <c r="I436" s="438"/>
      <c r="J436" s="438"/>
      <c r="K436" s="438"/>
      <c r="L436" s="438"/>
      <c r="M436" s="438"/>
      <c r="N436" s="438"/>
      <c r="O436" s="439"/>
    </row>
    <row r="437" spans="1:15" s="104" customFormat="1" ht="12.75">
      <c r="A437" s="437"/>
      <c r="B437" s="438"/>
      <c r="C437" s="438"/>
      <c r="D437" s="438"/>
      <c r="E437" s="438"/>
      <c r="F437" s="438"/>
      <c r="G437" s="438"/>
      <c r="H437" s="438"/>
      <c r="I437" s="438"/>
      <c r="J437" s="438"/>
      <c r="K437" s="438"/>
      <c r="L437" s="438"/>
      <c r="M437" s="438"/>
      <c r="N437" s="438"/>
      <c r="O437" s="439"/>
    </row>
    <row r="438" spans="1:15" s="104" customFormat="1" ht="12.75">
      <c r="A438" s="437"/>
      <c r="B438" s="438"/>
      <c r="C438" s="438"/>
      <c r="D438" s="438"/>
      <c r="E438" s="438"/>
      <c r="F438" s="438"/>
      <c r="G438" s="438"/>
      <c r="H438" s="438"/>
      <c r="I438" s="438"/>
      <c r="J438" s="438"/>
      <c r="K438" s="438"/>
      <c r="L438" s="438"/>
      <c r="M438" s="438"/>
      <c r="N438" s="438"/>
      <c r="O438" s="439"/>
    </row>
    <row r="439" spans="1:15" s="104" customFormat="1" ht="12.75">
      <c r="A439" s="437"/>
      <c r="B439" s="438"/>
      <c r="C439" s="438"/>
      <c r="D439" s="438"/>
      <c r="E439" s="438"/>
      <c r="F439" s="438"/>
      <c r="G439" s="438"/>
      <c r="H439" s="438"/>
      <c r="I439" s="438"/>
      <c r="J439" s="438"/>
      <c r="K439" s="438"/>
      <c r="L439" s="438"/>
      <c r="M439" s="438"/>
      <c r="N439" s="438"/>
      <c r="O439" s="439"/>
    </row>
    <row r="440" spans="1:15" s="104" customFormat="1" ht="12.75">
      <c r="A440" s="437"/>
      <c r="B440" s="438"/>
      <c r="C440" s="438"/>
      <c r="D440" s="438"/>
      <c r="E440" s="438"/>
      <c r="F440" s="438"/>
      <c r="G440" s="438"/>
      <c r="H440" s="438"/>
      <c r="I440" s="438"/>
      <c r="J440" s="438"/>
      <c r="K440" s="438"/>
      <c r="L440" s="438"/>
      <c r="M440" s="438"/>
      <c r="N440" s="438"/>
      <c r="O440" s="439"/>
    </row>
    <row r="441" spans="1:15" s="104" customFormat="1" ht="12.75">
      <c r="A441" s="437"/>
      <c r="B441" s="438"/>
      <c r="C441" s="438"/>
      <c r="D441" s="438"/>
      <c r="E441" s="438"/>
      <c r="F441" s="438"/>
      <c r="G441" s="438"/>
      <c r="H441" s="438"/>
      <c r="I441" s="438"/>
      <c r="J441" s="438"/>
      <c r="K441" s="438"/>
      <c r="L441" s="438"/>
      <c r="M441" s="438"/>
      <c r="N441" s="438"/>
      <c r="O441" s="439"/>
    </row>
    <row r="442" spans="1:15" s="104" customFormat="1" ht="12.75">
      <c r="A442" s="437"/>
      <c r="B442" s="438"/>
      <c r="C442" s="438"/>
      <c r="D442" s="438"/>
      <c r="E442" s="438"/>
      <c r="F442" s="438"/>
      <c r="G442" s="438"/>
      <c r="H442" s="438"/>
      <c r="I442" s="438"/>
      <c r="J442" s="438"/>
      <c r="K442" s="438"/>
      <c r="L442" s="438"/>
      <c r="M442" s="438"/>
      <c r="N442" s="438"/>
      <c r="O442" s="439"/>
    </row>
    <row r="443" spans="1:15" s="104" customFormat="1" ht="12.75">
      <c r="A443" s="437"/>
      <c r="B443" s="438"/>
      <c r="C443" s="438"/>
      <c r="D443" s="438"/>
      <c r="E443" s="438"/>
      <c r="F443" s="438"/>
      <c r="G443" s="438"/>
      <c r="H443" s="438"/>
      <c r="I443" s="438"/>
      <c r="J443" s="438"/>
      <c r="K443" s="438"/>
      <c r="L443" s="438"/>
      <c r="M443" s="438"/>
      <c r="N443" s="438"/>
      <c r="O443" s="439"/>
    </row>
    <row r="444" spans="1:15" s="104" customFormat="1" ht="12.75">
      <c r="A444" s="437"/>
      <c r="B444" s="438"/>
      <c r="C444" s="438"/>
      <c r="D444" s="438"/>
      <c r="E444" s="438"/>
      <c r="F444" s="438"/>
      <c r="G444" s="438"/>
      <c r="H444" s="438"/>
      <c r="I444" s="438"/>
      <c r="J444" s="438"/>
      <c r="K444" s="438"/>
      <c r="L444" s="438"/>
      <c r="M444" s="438"/>
      <c r="N444" s="438"/>
      <c r="O444" s="439"/>
    </row>
    <row r="445" spans="1:15" s="104" customFormat="1" ht="12.75">
      <c r="A445" s="437"/>
      <c r="B445" s="438"/>
      <c r="C445" s="438"/>
      <c r="D445" s="438"/>
      <c r="E445" s="438"/>
      <c r="F445" s="438"/>
      <c r="G445" s="438"/>
      <c r="H445" s="438"/>
      <c r="I445" s="438"/>
      <c r="J445" s="438"/>
      <c r="K445" s="438"/>
      <c r="L445" s="438"/>
      <c r="M445" s="438"/>
      <c r="N445" s="438"/>
      <c r="O445" s="439"/>
    </row>
    <row r="446" spans="1:15" s="104" customFormat="1" ht="12.75">
      <c r="A446" s="437"/>
      <c r="B446" s="438"/>
      <c r="C446" s="438"/>
      <c r="D446" s="438"/>
      <c r="E446" s="438"/>
      <c r="F446" s="438"/>
      <c r="G446" s="438"/>
      <c r="H446" s="438"/>
      <c r="I446" s="438"/>
      <c r="J446" s="438"/>
      <c r="K446" s="438"/>
      <c r="L446" s="438"/>
      <c r="M446" s="438"/>
      <c r="N446" s="438"/>
      <c r="O446" s="439"/>
    </row>
    <row r="447" spans="1:15" s="104" customFormat="1" ht="12.75">
      <c r="A447" s="437"/>
      <c r="B447" s="438"/>
      <c r="C447" s="438"/>
      <c r="D447" s="438"/>
      <c r="E447" s="438"/>
      <c r="F447" s="438"/>
      <c r="G447" s="438"/>
      <c r="H447" s="438"/>
      <c r="I447" s="438"/>
      <c r="J447" s="438"/>
      <c r="K447" s="438"/>
      <c r="L447" s="438"/>
      <c r="M447" s="438"/>
      <c r="N447" s="438"/>
      <c r="O447" s="439"/>
    </row>
    <row r="448" spans="1:15" s="104" customFormat="1" ht="12.75">
      <c r="A448" s="437"/>
      <c r="B448" s="438"/>
      <c r="C448" s="438"/>
      <c r="D448" s="438"/>
      <c r="E448" s="438"/>
      <c r="F448" s="438"/>
      <c r="G448" s="438"/>
      <c r="H448" s="438"/>
      <c r="I448" s="438"/>
      <c r="J448" s="438"/>
      <c r="K448" s="438"/>
      <c r="L448" s="438"/>
      <c r="M448" s="438"/>
      <c r="N448" s="438"/>
      <c r="O448" s="439"/>
    </row>
    <row r="449" spans="1:15" s="104" customFormat="1" ht="12.75">
      <c r="A449" s="437"/>
      <c r="B449" s="438"/>
      <c r="C449" s="438"/>
      <c r="D449" s="438"/>
      <c r="E449" s="438"/>
      <c r="F449" s="438"/>
      <c r="G449" s="438"/>
      <c r="H449" s="438"/>
      <c r="I449" s="438"/>
      <c r="J449" s="438"/>
      <c r="K449" s="438"/>
      <c r="L449" s="438"/>
      <c r="M449" s="438"/>
      <c r="N449" s="438"/>
      <c r="O449" s="439"/>
    </row>
    <row r="450" spans="1:15" s="104" customFormat="1" ht="12.75">
      <c r="A450" s="437"/>
      <c r="B450" s="438"/>
      <c r="C450" s="438"/>
      <c r="D450" s="438"/>
      <c r="E450" s="438"/>
      <c r="F450" s="438"/>
      <c r="G450" s="438"/>
      <c r="H450" s="438"/>
      <c r="I450" s="438"/>
      <c r="J450" s="438"/>
      <c r="K450" s="438"/>
      <c r="L450" s="438"/>
      <c r="M450" s="438"/>
      <c r="N450" s="438"/>
      <c r="O450" s="439"/>
    </row>
    <row r="451" spans="1:15" s="104" customFormat="1" ht="12.75">
      <c r="A451" s="437"/>
      <c r="B451" s="438"/>
      <c r="C451" s="438"/>
      <c r="D451" s="438"/>
      <c r="E451" s="438"/>
      <c r="F451" s="438"/>
      <c r="G451" s="438"/>
      <c r="H451" s="438"/>
      <c r="I451" s="438"/>
      <c r="J451" s="438"/>
      <c r="K451" s="438"/>
      <c r="L451" s="438"/>
      <c r="M451" s="438"/>
      <c r="N451" s="438"/>
      <c r="O451" s="439"/>
    </row>
    <row r="452" spans="1:15" s="104" customFormat="1" ht="12.75">
      <c r="A452" s="437"/>
      <c r="B452" s="438"/>
      <c r="C452" s="438"/>
      <c r="D452" s="438"/>
      <c r="E452" s="438"/>
      <c r="F452" s="438"/>
      <c r="G452" s="438"/>
      <c r="H452" s="438"/>
      <c r="I452" s="438"/>
      <c r="J452" s="438"/>
      <c r="K452" s="438"/>
      <c r="L452" s="438"/>
      <c r="M452" s="438"/>
      <c r="N452" s="438"/>
      <c r="O452" s="439"/>
    </row>
    <row r="453" spans="1:15" s="104" customFormat="1" ht="12.75">
      <c r="A453" s="437"/>
      <c r="B453" s="438"/>
      <c r="C453" s="438"/>
      <c r="D453" s="438"/>
      <c r="E453" s="438"/>
      <c r="F453" s="438"/>
      <c r="G453" s="438"/>
      <c r="H453" s="438"/>
      <c r="I453" s="438"/>
      <c r="J453" s="438"/>
      <c r="K453" s="438"/>
      <c r="L453" s="438"/>
      <c r="M453" s="438"/>
      <c r="N453" s="438"/>
      <c r="O453" s="439"/>
    </row>
    <row r="454" spans="1:15" s="104" customFormat="1" ht="12.75">
      <c r="A454" s="437"/>
      <c r="B454" s="438"/>
      <c r="C454" s="438"/>
      <c r="D454" s="438"/>
      <c r="E454" s="438"/>
      <c r="F454" s="438"/>
      <c r="G454" s="438"/>
      <c r="H454" s="438"/>
      <c r="I454" s="438"/>
      <c r="J454" s="438"/>
      <c r="K454" s="438"/>
      <c r="L454" s="438"/>
      <c r="M454" s="438"/>
      <c r="N454" s="438"/>
      <c r="O454" s="439"/>
    </row>
    <row r="455" spans="1:15" s="104" customFormat="1" ht="12.75">
      <c r="A455" s="437"/>
      <c r="B455" s="438"/>
      <c r="C455" s="438"/>
      <c r="D455" s="438"/>
      <c r="E455" s="438"/>
      <c r="F455" s="438"/>
      <c r="G455" s="438"/>
      <c r="H455" s="438"/>
      <c r="I455" s="438"/>
      <c r="J455" s="438"/>
      <c r="K455" s="438"/>
      <c r="L455" s="438"/>
      <c r="M455" s="438"/>
      <c r="N455" s="438"/>
      <c r="O455" s="439"/>
    </row>
    <row r="456" spans="1:15" s="104" customFormat="1" ht="12.75">
      <c r="A456" s="437"/>
      <c r="B456" s="438"/>
      <c r="C456" s="438"/>
      <c r="D456" s="438"/>
      <c r="E456" s="438"/>
      <c r="F456" s="438"/>
      <c r="G456" s="438"/>
      <c r="H456" s="438"/>
      <c r="I456" s="438"/>
      <c r="J456" s="438"/>
      <c r="K456" s="438"/>
      <c r="L456" s="438"/>
      <c r="M456" s="438"/>
      <c r="N456" s="438"/>
      <c r="O456" s="439"/>
    </row>
    <row r="457" spans="1:15" s="104" customFormat="1" ht="12.75">
      <c r="A457" s="437"/>
      <c r="B457" s="438"/>
      <c r="C457" s="438"/>
      <c r="D457" s="438"/>
      <c r="E457" s="438"/>
      <c r="F457" s="438"/>
      <c r="G457" s="438"/>
      <c r="H457" s="438"/>
      <c r="I457" s="438"/>
      <c r="J457" s="438"/>
      <c r="K457" s="438"/>
      <c r="L457" s="438"/>
      <c r="M457" s="438"/>
      <c r="N457" s="438"/>
      <c r="O457" s="439"/>
    </row>
    <row r="458" spans="1:15" s="104" customFormat="1" ht="12.75">
      <c r="A458" s="437"/>
      <c r="B458" s="438"/>
      <c r="C458" s="438"/>
      <c r="D458" s="438"/>
      <c r="E458" s="438"/>
      <c r="F458" s="438"/>
      <c r="G458" s="438"/>
      <c r="H458" s="438"/>
      <c r="I458" s="438"/>
      <c r="J458" s="438"/>
      <c r="K458" s="438"/>
      <c r="L458" s="438"/>
      <c r="M458" s="438"/>
      <c r="N458" s="438"/>
      <c r="O458" s="439"/>
    </row>
    <row r="459" spans="1:15" s="104" customFormat="1" ht="12.75">
      <c r="A459" s="437"/>
      <c r="B459" s="438"/>
      <c r="C459" s="438"/>
      <c r="D459" s="438"/>
      <c r="E459" s="438"/>
      <c r="F459" s="438"/>
      <c r="G459" s="438"/>
      <c r="H459" s="438"/>
      <c r="I459" s="438"/>
      <c r="J459" s="438"/>
      <c r="K459" s="438"/>
      <c r="L459" s="438"/>
      <c r="M459" s="438"/>
      <c r="N459" s="438"/>
      <c r="O459" s="439"/>
    </row>
    <row r="460" spans="1:15" s="104" customFormat="1" ht="12.75">
      <c r="A460" s="437"/>
      <c r="B460" s="438"/>
      <c r="C460" s="438"/>
      <c r="D460" s="438"/>
      <c r="E460" s="438"/>
      <c r="F460" s="438"/>
      <c r="G460" s="438"/>
      <c r="H460" s="438"/>
      <c r="I460" s="438"/>
      <c r="J460" s="438"/>
      <c r="K460" s="438"/>
      <c r="L460" s="438"/>
      <c r="M460" s="438"/>
      <c r="N460" s="438"/>
      <c r="O460" s="439"/>
    </row>
    <row r="461" spans="1:15" s="104" customFormat="1" ht="12.75">
      <c r="A461" s="437"/>
      <c r="B461" s="438"/>
      <c r="C461" s="438"/>
      <c r="D461" s="438"/>
      <c r="E461" s="438"/>
      <c r="F461" s="438"/>
      <c r="G461" s="438"/>
      <c r="H461" s="438"/>
      <c r="I461" s="438"/>
      <c r="J461" s="438"/>
      <c r="K461" s="438"/>
      <c r="L461" s="438"/>
      <c r="M461" s="438"/>
      <c r="N461" s="438"/>
      <c r="O461" s="439"/>
    </row>
    <row r="462" spans="1:15" s="104" customFormat="1" ht="12.75">
      <c r="A462" s="437"/>
      <c r="B462" s="438"/>
      <c r="C462" s="438"/>
      <c r="D462" s="438"/>
      <c r="E462" s="438"/>
      <c r="F462" s="438"/>
      <c r="G462" s="438"/>
      <c r="H462" s="438"/>
      <c r="I462" s="438"/>
      <c r="J462" s="438"/>
      <c r="K462" s="438"/>
      <c r="L462" s="438"/>
      <c r="M462" s="438"/>
      <c r="N462" s="438"/>
      <c r="O462" s="439"/>
    </row>
    <row r="463" spans="1:15" s="104" customFormat="1" ht="12.75">
      <c r="A463" s="437"/>
      <c r="B463" s="438"/>
      <c r="C463" s="438"/>
      <c r="D463" s="438"/>
      <c r="E463" s="438"/>
      <c r="F463" s="438"/>
      <c r="G463" s="438"/>
      <c r="H463" s="438"/>
      <c r="I463" s="438"/>
      <c r="J463" s="438"/>
      <c r="K463" s="438"/>
      <c r="L463" s="438"/>
      <c r="M463" s="438"/>
      <c r="N463" s="438"/>
      <c r="O463" s="439"/>
    </row>
    <row r="464" spans="1:15" s="104" customFormat="1" ht="12.75">
      <c r="A464" s="437"/>
      <c r="B464" s="438"/>
      <c r="C464" s="438"/>
      <c r="D464" s="438"/>
      <c r="E464" s="438"/>
      <c r="F464" s="438"/>
      <c r="G464" s="438"/>
      <c r="H464" s="438"/>
      <c r="I464" s="438"/>
      <c r="J464" s="438"/>
      <c r="K464" s="438"/>
      <c r="L464" s="438"/>
      <c r="M464" s="438"/>
      <c r="N464" s="438"/>
      <c r="O464" s="439"/>
    </row>
    <row r="465" spans="1:15" s="104" customFormat="1" ht="12.75">
      <c r="A465" s="437"/>
      <c r="B465" s="438"/>
      <c r="C465" s="438"/>
      <c r="D465" s="438"/>
      <c r="E465" s="438"/>
      <c r="F465" s="438"/>
      <c r="G465" s="438"/>
      <c r="H465" s="438"/>
      <c r="I465" s="438"/>
      <c r="J465" s="438"/>
      <c r="K465" s="438"/>
      <c r="L465" s="438"/>
      <c r="M465" s="438"/>
      <c r="N465" s="438"/>
      <c r="O465" s="439"/>
    </row>
    <row r="466" spans="1:15" s="104" customFormat="1" ht="12.75">
      <c r="A466" s="437"/>
      <c r="B466" s="438"/>
      <c r="C466" s="438"/>
      <c r="D466" s="438"/>
      <c r="E466" s="438"/>
      <c r="F466" s="438"/>
      <c r="G466" s="438"/>
      <c r="H466" s="438"/>
      <c r="I466" s="438"/>
      <c r="J466" s="438"/>
      <c r="K466" s="438"/>
      <c r="L466" s="438"/>
      <c r="M466" s="438"/>
      <c r="N466" s="438"/>
      <c r="O466" s="439"/>
    </row>
    <row r="467" spans="1:15" s="104" customFormat="1" ht="12.75">
      <c r="A467" s="437"/>
      <c r="B467" s="438"/>
      <c r="C467" s="438"/>
      <c r="D467" s="438"/>
      <c r="E467" s="438"/>
      <c r="F467" s="438"/>
      <c r="G467" s="438"/>
      <c r="H467" s="438"/>
      <c r="I467" s="438"/>
      <c r="J467" s="438"/>
      <c r="K467" s="438"/>
      <c r="L467" s="438"/>
      <c r="M467" s="438"/>
      <c r="N467" s="438"/>
      <c r="O467" s="439"/>
    </row>
    <row r="468" spans="1:15" s="104" customFormat="1" ht="12.75">
      <c r="A468" s="437"/>
      <c r="B468" s="438"/>
      <c r="C468" s="438"/>
      <c r="D468" s="438"/>
      <c r="E468" s="438"/>
      <c r="F468" s="438"/>
      <c r="G468" s="438"/>
      <c r="H468" s="438"/>
      <c r="I468" s="438"/>
      <c r="J468" s="438"/>
      <c r="K468" s="438"/>
      <c r="L468" s="438"/>
      <c r="M468" s="438"/>
      <c r="N468" s="438"/>
      <c r="O468" s="439"/>
    </row>
    <row r="469" spans="1:15" s="104" customFormat="1" ht="12.75">
      <c r="A469" s="437"/>
      <c r="B469" s="438"/>
      <c r="C469" s="438"/>
      <c r="D469" s="438"/>
      <c r="E469" s="438"/>
      <c r="F469" s="438"/>
      <c r="G469" s="438"/>
      <c r="H469" s="438"/>
      <c r="I469" s="438"/>
      <c r="J469" s="438"/>
      <c r="K469" s="438"/>
      <c r="L469" s="438"/>
      <c r="M469" s="438"/>
      <c r="N469" s="438"/>
      <c r="O469" s="439"/>
    </row>
    <row r="470" spans="1:15" s="104" customFormat="1" ht="12.75">
      <c r="A470" s="437"/>
      <c r="B470" s="438"/>
      <c r="C470" s="438"/>
      <c r="D470" s="438"/>
      <c r="E470" s="438"/>
      <c r="F470" s="438"/>
      <c r="G470" s="438"/>
      <c r="H470" s="438"/>
      <c r="I470" s="438"/>
      <c r="J470" s="438"/>
      <c r="K470" s="438"/>
      <c r="L470" s="438"/>
      <c r="M470" s="438"/>
      <c r="N470" s="438"/>
      <c r="O470" s="439"/>
    </row>
    <row r="471" spans="1:15" s="104" customFormat="1" ht="12.75">
      <c r="A471" s="437"/>
      <c r="B471" s="438"/>
      <c r="C471" s="438"/>
      <c r="D471" s="438"/>
      <c r="E471" s="438"/>
      <c r="F471" s="438"/>
      <c r="G471" s="438"/>
      <c r="H471" s="438"/>
      <c r="I471" s="438"/>
      <c r="J471" s="438"/>
      <c r="K471" s="438"/>
      <c r="L471" s="438"/>
      <c r="M471" s="438"/>
      <c r="N471" s="438"/>
      <c r="O471" s="439"/>
    </row>
    <row r="472" spans="1:15" s="104" customFormat="1" ht="12.75">
      <c r="A472" s="437"/>
      <c r="B472" s="438"/>
      <c r="C472" s="438"/>
      <c r="D472" s="438"/>
      <c r="E472" s="438"/>
      <c r="F472" s="438"/>
      <c r="G472" s="438"/>
      <c r="H472" s="438"/>
      <c r="I472" s="438"/>
      <c r="J472" s="438"/>
      <c r="K472" s="438"/>
      <c r="L472" s="438"/>
      <c r="M472" s="438"/>
      <c r="N472" s="438"/>
      <c r="O472" s="439"/>
    </row>
    <row r="473" spans="1:15" s="104" customFormat="1" ht="12.75">
      <c r="A473" s="437"/>
      <c r="B473" s="438"/>
      <c r="C473" s="438"/>
      <c r="D473" s="438"/>
      <c r="E473" s="438"/>
      <c r="F473" s="438"/>
      <c r="G473" s="438"/>
      <c r="H473" s="438"/>
      <c r="I473" s="438"/>
      <c r="J473" s="438"/>
      <c r="K473" s="438"/>
      <c r="L473" s="438"/>
      <c r="M473" s="438"/>
      <c r="N473" s="438"/>
      <c r="O473" s="439"/>
    </row>
    <row r="474" spans="1:15" s="104" customFormat="1" ht="12.75">
      <c r="A474" s="437"/>
      <c r="B474" s="438"/>
      <c r="C474" s="438"/>
      <c r="D474" s="438"/>
      <c r="E474" s="438"/>
      <c r="F474" s="438"/>
      <c r="G474" s="438"/>
      <c r="H474" s="438"/>
      <c r="I474" s="438"/>
      <c r="J474" s="438"/>
      <c r="K474" s="438"/>
      <c r="L474" s="438"/>
      <c r="M474" s="438"/>
      <c r="N474" s="438"/>
      <c r="O474" s="439"/>
    </row>
    <row r="475" spans="1:15" s="104" customFormat="1" ht="12.75">
      <c r="A475" s="437"/>
      <c r="B475" s="438"/>
      <c r="C475" s="438"/>
      <c r="D475" s="438"/>
      <c r="E475" s="438"/>
      <c r="F475" s="438"/>
      <c r="G475" s="438"/>
      <c r="H475" s="438"/>
      <c r="I475" s="438"/>
      <c r="J475" s="438"/>
      <c r="K475" s="438"/>
      <c r="L475" s="438"/>
      <c r="M475" s="438"/>
      <c r="N475" s="438"/>
      <c r="O475" s="439"/>
    </row>
    <row r="476" spans="1:15" s="104" customFormat="1" ht="12.75">
      <c r="A476" s="437"/>
      <c r="B476" s="438"/>
      <c r="C476" s="438"/>
      <c r="D476" s="438"/>
      <c r="E476" s="438"/>
      <c r="F476" s="438"/>
      <c r="G476" s="438"/>
      <c r="H476" s="438"/>
      <c r="I476" s="438"/>
      <c r="J476" s="438"/>
      <c r="K476" s="438"/>
      <c r="L476" s="438"/>
      <c r="M476" s="438"/>
      <c r="N476" s="438"/>
      <c r="O476" s="439"/>
    </row>
    <row r="477" spans="1:15" s="104" customFormat="1" ht="12.75">
      <c r="A477" s="437"/>
      <c r="B477" s="438"/>
      <c r="C477" s="438"/>
      <c r="D477" s="438"/>
      <c r="E477" s="438"/>
      <c r="F477" s="438"/>
      <c r="G477" s="438"/>
      <c r="H477" s="438"/>
      <c r="I477" s="438"/>
      <c r="J477" s="438"/>
      <c r="K477" s="438"/>
      <c r="L477" s="438"/>
      <c r="M477" s="438"/>
      <c r="N477" s="438"/>
      <c r="O477" s="439"/>
    </row>
    <row r="478" spans="1:15" s="104" customFormat="1" ht="12.75">
      <c r="A478" s="437"/>
      <c r="B478" s="438"/>
      <c r="C478" s="438"/>
      <c r="D478" s="438"/>
      <c r="E478" s="438"/>
      <c r="F478" s="438"/>
      <c r="G478" s="438"/>
      <c r="H478" s="438"/>
      <c r="I478" s="438"/>
      <c r="J478" s="438"/>
      <c r="K478" s="438"/>
      <c r="L478" s="438"/>
      <c r="M478" s="438"/>
      <c r="N478" s="438"/>
      <c r="O478" s="439"/>
    </row>
    <row r="479" spans="1:15" s="104" customFormat="1" ht="12.75">
      <c r="A479" s="437"/>
      <c r="B479" s="438"/>
      <c r="C479" s="438"/>
      <c r="D479" s="438"/>
      <c r="E479" s="438"/>
      <c r="F479" s="438"/>
      <c r="G479" s="438"/>
      <c r="H479" s="438"/>
      <c r="I479" s="438"/>
      <c r="J479" s="438"/>
      <c r="K479" s="438"/>
      <c r="L479" s="438"/>
      <c r="M479" s="438"/>
      <c r="N479" s="438"/>
      <c r="O479" s="439"/>
    </row>
    <row r="480" spans="1:15" s="104" customFormat="1" ht="12.75">
      <c r="A480" s="437"/>
      <c r="B480" s="438"/>
      <c r="C480" s="438"/>
      <c r="D480" s="438"/>
      <c r="E480" s="438"/>
      <c r="F480" s="438"/>
      <c r="G480" s="438"/>
      <c r="H480" s="438"/>
      <c r="I480" s="438"/>
      <c r="J480" s="438"/>
      <c r="K480" s="438"/>
      <c r="L480" s="438"/>
      <c r="M480" s="438"/>
      <c r="N480" s="438"/>
      <c r="O480" s="439"/>
    </row>
    <row r="481" spans="1:15" s="104" customFormat="1" ht="12.75">
      <c r="A481" s="437"/>
      <c r="B481" s="438"/>
      <c r="C481" s="438"/>
      <c r="D481" s="438"/>
      <c r="E481" s="438"/>
      <c r="F481" s="438"/>
      <c r="G481" s="438"/>
      <c r="H481" s="438"/>
      <c r="I481" s="438"/>
      <c r="J481" s="438"/>
      <c r="K481" s="438"/>
      <c r="L481" s="438"/>
      <c r="M481" s="438"/>
      <c r="N481" s="438"/>
      <c r="O481" s="439"/>
    </row>
    <row r="482" spans="1:15" s="104" customFormat="1" ht="12.75">
      <c r="A482" s="437"/>
      <c r="B482" s="438"/>
      <c r="C482" s="438"/>
      <c r="D482" s="438"/>
      <c r="E482" s="438"/>
      <c r="F482" s="438"/>
      <c r="G482" s="438"/>
      <c r="H482" s="438"/>
      <c r="I482" s="438"/>
      <c r="J482" s="438"/>
      <c r="K482" s="438"/>
      <c r="L482" s="438"/>
      <c r="M482" s="438"/>
      <c r="N482" s="438"/>
      <c r="O482" s="439"/>
    </row>
    <row r="483" spans="1:15" s="104" customFormat="1" ht="12.75">
      <c r="A483" s="437"/>
      <c r="B483" s="438"/>
      <c r="C483" s="438"/>
      <c r="D483" s="438"/>
      <c r="E483" s="438"/>
      <c r="F483" s="438"/>
      <c r="G483" s="438"/>
      <c r="H483" s="438"/>
      <c r="I483" s="438"/>
      <c r="J483" s="438"/>
      <c r="K483" s="438"/>
      <c r="L483" s="438"/>
      <c r="M483" s="438"/>
      <c r="N483" s="438"/>
      <c r="O483" s="439"/>
    </row>
    <row r="484" spans="1:15" s="104" customFormat="1" ht="12.75">
      <c r="A484" s="437"/>
      <c r="B484" s="438"/>
      <c r="C484" s="438"/>
      <c r="D484" s="438"/>
      <c r="E484" s="438"/>
      <c r="F484" s="438"/>
      <c r="G484" s="438"/>
      <c r="H484" s="438"/>
      <c r="I484" s="438"/>
      <c r="J484" s="438"/>
      <c r="K484" s="438"/>
      <c r="L484" s="438"/>
      <c r="M484" s="438"/>
      <c r="N484" s="438"/>
      <c r="O484" s="439"/>
    </row>
    <row r="485" spans="1:15" s="104" customFormat="1" ht="12.75">
      <c r="A485" s="437"/>
      <c r="B485" s="438"/>
      <c r="C485" s="438"/>
      <c r="D485" s="438"/>
      <c r="E485" s="438"/>
      <c r="F485" s="438"/>
      <c r="G485" s="438"/>
      <c r="H485" s="438"/>
      <c r="I485" s="438"/>
      <c r="J485" s="438"/>
      <c r="K485" s="438"/>
      <c r="L485" s="438"/>
      <c r="M485" s="438"/>
      <c r="N485" s="438"/>
      <c r="O485" s="439"/>
    </row>
    <row r="486" spans="1:15" s="104" customFormat="1" ht="12.75">
      <c r="A486" s="437"/>
      <c r="B486" s="438"/>
      <c r="C486" s="438"/>
      <c r="D486" s="438"/>
      <c r="E486" s="438"/>
      <c r="F486" s="438"/>
      <c r="G486" s="438"/>
      <c r="H486" s="438"/>
      <c r="I486" s="438"/>
      <c r="J486" s="438"/>
      <c r="K486" s="438"/>
      <c r="L486" s="438"/>
      <c r="M486" s="438"/>
      <c r="N486" s="438"/>
      <c r="O486" s="439"/>
    </row>
    <row r="487" spans="1:15" s="104" customFormat="1" ht="12.75">
      <c r="A487" s="437"/>
      <c r="B487" s="438"/>
      <c r="C487" s="438"/>
      <c r="D487" s="438"/>
      <c r="E487" s="438"/>
      <c r="F487" s="438"/>
      <c r="G487" s="438"/>
      <c r="H487" s="438"/>
      <c r="I487" s="438"/>
      <c r="J487" s="438"/>
      <c r="K487" s="438"/>
      <c r="L487" s="438"/>
      <c r="M487" s="438"/>
      <c r="N487" s="438"/>
      <c r="O487" s="439"/>
    </row>
    <row r="488" spans="1:15" s="104" customFormat="1" ht="12.75">
      <c r="A488" s="437"/>
      <c r="B488" s="438"/>
      <c r="C488" s="438"/>
      <c r="D488" s="438"/>
      <c r="E488" s="438"/>
      <c r="F488" s="438"/>
      <c r="G488" s="438"/>
      <c r="H488" s="438"/>
      <c r="I488" s="438"/>
      <c r="J488" s="438"/>
      <c r="K488" s="438"/>
      <c r="L488" s="438"/>
      <c r="M488" s="438"/>
      <c r="N488" s="438"/>
      <c r="O488" s="439"/>
    </row>
    <row r="489" spans="1:15" s="104" customFormat="1" ht="12.75">
      <c r="A489" s="437"/>
      <c r="B489" s="438"/>
      <c r="C489" s="438"/>
      <c r="D489" s="438"/>
      <c r="E489" s="438"/>
      <c r="F489" s="438"/>
      <c r="G489" s="438"/>
      <c r="H489" s="438"/>
      <c r="I489" s="438"/>
      <c r="J489" s="438"/>
      <c r="K489" s="438"/>
      <c r="L489" s="438"/>
      <c r="M489" s="438"/>
      <c r="N489" s="438"/>
      <c r="O489" s="439"/>
    </row>
    <row r="490" spans="1:15" s="104" customFormat="1" ht="12.75">
      <c r="A490" s="437"/>
      <c r="B490" s="438"/>
      <c r="C490" s="438"/>
      <c r="D490" s="438"/>
      <c r="E490" s="438"/>
      <c r="F490" s="438"/>
      <c r="G490" s="438"/>
      <c r="H490" s="438"/>
      <c r="I490" s="438"/>
      <c r="J490" s="438"/>
      <c r="K490" s="438"/>
      <c r="L490" s="438"/>
      <c r="M490" s="438"/>
      <c r="N490" s="438"/>
      <c r="O490" s="439"/>
    </row>
    <row r="491" spans="1:15" s="104" customFormat="1" ht="12.75">
      <c r="A491" s="437"/>
      <c r="B491" s="438"/>
      <c r="C491" s="438"/>
      <c r="D491" s="438"/>
      <c r="E491" s="438"/>
      <c r="F491" s="438"/>
      <c r="G491" s="438"/>
      <c r="H491" s="438"/>
      <c r="I491" s="438"/>
      <c r="J491" s="438"/>
      <c r="K491" s="438"/>
      <c r="L491" s="438"/>
      <c r="M491" s="438"/>
      <c r="N491" s="438"/>
      <c r="O491" s="439"/>
    </row>
    <row r="492" spans="1:15" s="104" customFormat="1" ht="12.75">
      <c r="A492" s="437"/>
      <c r="B492" s="438"/>
      <c r="C492" s="438"/>
      <c r="D492" s="438"/>
      <c r="E492" s="438"/>
      <c r="F492" s="438"/>
      <c r="G492" s="438"/>
      <c r="H492" s="438"/>
      <c r="I492" s="438"/>
      <c r="J492" s="438"/>
      <c r="K492" s="438"/>
      <c r="L492" s="438"/>
      <c r="M492" s="438"/>
      <c r="N492" s="438"/>
      <c r="O492" s="439"/>
    </row>
    <row r="493" spans="1:15" s="104" customFormat="1" ht="12.75">
      <c r="A493" s="437"/>
      <c r="B493" s="438"/>
      <c r="C493" s="438"/>
      <c r="D493" s="438"/>
      <c r="E493" s="438"/>
      <c r="F493" s="438"/>
      <c r="G493" s="438"/>
      <c r="H493" s="438"/>
      <c r="I493" s="438"/>
      <c r="J493" s="438"/>
      <c r="K493" s="438"/>
      <c r="L493" s="438"/>
      <c r="M493" s="438"/>
      <c r="N493" s="438"/>
      <c r="O493" s="439"/>
    </row>
    <row r="494" spans="1:15" s="104" customFormat="1" ht="12.75">
      <c r="A494" s="437"/>
      <c r="B494" s="438"/>
      <c r="C494" s="438"/>
      <c r="D494" s="438"/>
      <c r="E494" s="438"/>
      <c r="F494" s="438"/>
      <c r="G494" s="438"/>
      <c r="H494" s="438"/>
      <c r="I494" s="438"/>
      <c r="J494" s="438"/>
      <c r="K494" s="438"/>
      <c r="L494" s="438"/>
      <c r="M494" s="438"/>
      <c r="N494" s="438"/>
      <c r="O494" s="439"/>
    </row>
    <row r="495" spans="1:15" s="104" customFormat="1" ht="12.75">
      <c r="A495" s="437"/>
      <c r="B495" s="438"/>
      <c r="C495" s="438"/>
      <c r="D495" s="438"/>
      <c r="E495" s="438"/>
      <c r="F495" s="438"/>
      <c r="G495" s="438"/>
      <c r="H495" s="438"/>
      <c r="I495" s="438"/>
      <c r="J495" s="438"/>
      <c r="K495" s="438"/>
      <c r="L495" s="438"/>
      <c r="M495" s="438"/>
      <c r="N495" s="438"/>
      <c r="O495" s="439"/>
    </row>
    <row r="496" spans="1:15" s="104" customFormat="1" ht="12.75">
      <c r="A496" s="437"/>
      <c r="B496" s="438"/>
      <c r="C496" s="438"/>
      <c r="D496" s="438"/>
      <c r="E496" s="438"/>
      <c r="F496" s="438"/>
      <c r="G496" s="438"/>
      <c r="H496" s="438"/>
      <c r="I496" s="438"/>
      <c r="J496" s="438"/>
      <c r="K496" s="438"/>
      <c r="L496" s="438"/>
      <c r="M496" s="438"/>
      <c r="N496" s="438"/>
      <c r="O496" s="439"/>
    </row>
    <row r="497" spans="1:15" s="104" customFormat="1" ht="12.75">
      <c r="A497" s="437"/>
      <c r="B497" s="438"/>
      <c r="C497" s="438"/>
      <c r="D497" s="438"/>
      <c r="E497" s="438"/>
      <c r="F497" s="438"/>
      <c r="G497" s="438"/>
      <c r="H497" s="438"/>
      <c r="I497" s="438"/>
      <c r="J497" s="438"/>
      <c r="K497" s="438"/>
      <c r="L497" s="438"/>
      <c r="M497" s="438"/>
      <c r="N497" s="438"/>
      <c r="O497" s="439"/>
    </row>
    <row r="498" spans="1:15" s="104" customFormat="1" ht="12.75">
      <c r="A498" s="437"/>
      <c r="B498" s="438"/>
      <c r="C498" s="438"/>
      <c r="D498" s="438"/>
      <c r="E498" s="438"/>
      <c r="F498" s="438"/>
      <c r="G498" s="438"/>
      <c r="H498" s="438"/>
      <c r="I498" s="438"/>
      <c r="J498" s="438"/>
      <c r="K498" s="438"/>
      <c r="L498" s="438"/>
      <c r="M498" s="438"/>
      <c r="N498" s="438"/>
      <c r="O498" s="439"/>
    </row>
    <row r="499" spans="1:15" s="104" customFormat="1" ht="12.75">
      <c r="A499" s="437"/>
      <c r="B499" s="438"/>
      <c r="C499" s="438"/>
      <c r="D499" s="438"/>
      <c r="E499" s="438"/>
      <c r="F499" s="438"/>
      <c r="G499" s="438"/>
      <c r="H499" s="438"/>
      <c r="I499" s="438"/>
      <c r="J499" s="438"/>
      <c r="K499" s="438"/>
      <c r="L499" s="438"/>
      <c r="M499" s="438"/>
      <c r="N499" s="438"/>
      <c r="O499" s="439"/>
    </row>
    <row r="500" spans="1:15" s="104" customFormat="1" ht="12.75">
      <c r="A500" s="437"/>
      <c r="B500" s="438"/>
      <c r="C500" s="438"/>
      <c r="D500" s="438"/>
      <c r="E500" s="438"/>
      <c r="F500" s="438"/>
      <c r="G500" s="438"/>
      <c r="H500" s="438"/>
      <c r="I500" s="438"/>
      <c r="J500" s="438"/>
      <c r="K500" s="438"/>
      <c r="L500" s="438"/>
      <c r="M500" s="438"/>
      <c r="N500" s="438"/>
      <c r="O500" s="439"/>
    </row>
    <row r="501" spans="1:15" s="104" customFormat="1" ht="12.75">
      <c r="A501" s="437"/>
      <c r="B501" s="438"/>
      <c r="C501" s="438"/>
      <c r="D501" s="438"/>
      <c r="E501" s="438"/>
      <c r="F501" s="438"/>
      <c r="G501" s="438"/>
      <c r="H501" s="438"/>
      <c r="I501" s="438"/>
      <c r="J501" s="438"/>
      <c r="K501" s="438"/>
      <c r="L501" s="438"/>
      <c r="M501" s="438"/>
      <c r="N501" s="438"/>
      <c r="O501" s="439"/>
    </row>
    <row r="502" spans="1:15" s="104" customFormat="1" ht="12.75">
      <c r="A502" s="437"/>
      <c r="B502" s="438"/>
      <c r="C502" s="438"/>
      <c r="D502" s="438"/>
      <c r="E502" s="438"/>
      <c r="F502" s="438"/>
      <c r="G502" s="438"/>
      <c r="H502" s="438"/>
      <c r="I502" s="438"/>
      <c r="J502" s="438"/>
      <c r="K502" s="438"/>
      <c r="L502" s="438"/>
      <c r="M502" s="438"/>
      <c r="N502" s="438"/>
      <c r="O502" s="439"/>
    </row>
    <row r="503" spans="1:15" s="104" customFormat="1" ht="13.5" thickBot="1">
      <c r="A503" s="443"/>
      <c r="B503" s="441"/>
      <c r="C503" s="441"/>
      <c r="D503" s="441"/>
      <c r="E503" s="441"/>
      <c r="F503" s="441"/>
      <c r="G503" s="441"/>
      <c r="H503" s="441"/>
      <c r="I503" s="441"/>
      <c r="J503" s="441"/>
      <c r="K503" s="441"/>
      <c r="L503" s="441"/>
      <c r="M503" s="441"/>
      <c r="N503" s="441"/>
      <c r="O503" s="442"/>
    </row>
    <row r="504" spans="1:34" ht="12.75" hidden="1">
      <c r="A504" s="15"/>
      <c r="B504" s="15"/>
      <c r="C504" s="15"/>
      <c r="D504" s="18" t="s">
        <v>0</v>
      </c>
      <c r="E504" s="15"/>
      <c r="F504" s="15"/>
      <c r="G504" s="15"/>
      <c r="H504" s="15"/>
      <c r="I504" s="15"/>
      <c r="J504" s="15"/>
      <c r="K504" s="222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</row>
    <row r="505" spans="1:34" ht="15.75" hidden="1">
      <c r="A505" s="15"/>
      <c r="B505" s="15"/>
      <c r="C505" s="249"/>
      <c r="D505" s="250"/>
      <c r="E505" s="248" t="s">
        <v>135</v>
      </c>
      <c r="F505" s="247">
        <f>AA505</f>
        <v>2</v>
      </c>
      <c r="G505" s="15"/>
      <c r="H505" s="15"/>
      <c r="I505" s="15"/>
      <c r="J505" s="15"/>
      <c r="K505" s="222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251">
        <v>2</v>
      </c>
      <c r="AB505" s="15"/>
      <c r="AC505" s="15"/>
      <c r="AD505" s="15"/>
      <c r="AE505" s="15"/>
      <c r="AF505" s="15"/>
      <c r="AG505" s="15"/>
      <c r="AH505" s="15"/>
    </row>
    <row r="506" spans="1:34" ht="12.75" hidden="1">
      <c r="A506" s="15"/>
      <c r="B506" s="15"/>
      <c r="C506" s="15"/>
      <c r="D506" s="18"/>
      <c r="E506" s="15"/>
      <c r="F506" s="15"/>
      <c r="G506" s="15"/>
      <c r="H506" s="15"/>
      <c r="I506" s="15"/>
      <c r="J506" s="15"/>
      <c r="K506" s="222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</row>
    <row r="507" spans="1:34" ht="15.75" hidden="1">
      <c r="A507" s="18"/>
      <c r="B507" s="161" t="s">
        <v>136</v>
      </c>
      <c r="C507" s="18"/>
      <c r="D507" s="18"/>
      <c r="E507" s="18"/>
      <c r="F507" s="18"/>
      <c r="G507" s="18"/>
      <c r="H507" s="18"/>
      <c r="I507" s="15"/>
      <c r="J507" s="15"/>
      <c r="K507" s="222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</row>
    <row r="508" spans="1:34" ht="12.75" hidden="1">
      <c r="A508" s="18"/>
      <c r="B508" s="154"/>
      <c r="C508" s="18"/>
      <c r="D508" s="18"/>
      <c r="E508" s="18"/>
      <c r="F508" s="18"/>
      <c r="G508" s="18"/>
      <c r="H508" s="18"/>
      <c r="I508" s="15"/>
      <c r="J508" s="15"/>
      <c r="K508" s="222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</row>
    <row r="509" spans="1:34" ht="12.75" hidden="1">
      <c r="A509" s="15"/>
      <c r="B509" s="144"/>
      <c r="C509" s="145"/>
      <c r="D509" s="145"/>
      <c r="E509" s="145"/>
      <c r="F509" s="145"/>
      <c r="G509" s="145"/>
      <c r="H509" s="145"/>
      <c r="I509" s="145"/>
      <c r="J509" s="136"/>
      <c r="K509" s="222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</row>
    <row r="510" spans="1:34" ht="12.75" hidden="1">
      <c r="A510" s="15"/>
      <c r="B510" s="146"/>
      <c r="C510" s="162" t="s">
        <v>137</v>
      </c>
      <c r="D510" s="126"/>
      <c r="E510" s="127"/>
      <c r="F510" s="128" t="s">
        <v>138</v>
      </c>
      <c r="G510" s="124">
        <f>AH510</f>
        <v>2</v>
      </c>
      <c r="H510" s="124"/>
      <c r="I510" s="124"/>
      <c r="J510" s="137"/>
      <c r="K510" s="222"/>
      <c r="L510" s="18" t="s">
        <v>0</v>
      </c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8"/>
      <c r="X510" s="109"/>
      <c r="Y510" s="109"/>
      <c r="Z510" s="109"/>
      <c r="AA510" s="15" t="s">
        <v>139</v>
      </c>
      <c r="AB510" s="15" t="s">
        <v>140</v>
      </c>
      <c r="AC510" s="109" t="s">
        <v>141</v>
      </c>
      <c r="AD510" s="15" t="s">
        <v>142</v>
      </c>
      <c r="AE510" s="15" t="s">
        <v>143</v>
      </c>
      <c r="AF510" s="15" t="s">
        <v>144</v>
      </c>
      <c r="AG510" s="15" t="s">
        <v>145</v>
      </c>
      <c r="AH510" s="15">
        <v>2</v>
      </c>
    </row>
    <row r="511" spans="1:34" ht="12.75" hidden="1">
      <c r="A511" s="15"/>
      <c r="B511" s="146"/>
      <c r="C511" s="129"/>
      <c r="D511" s="126"/>
      <c r="E511" s="127"/>
      <c r="F511" s="156" t="s">
        <v>146</v>
      </c>
      <c r="G511" s="124">
        <f>AH511</f>
        <v>2</v>
      </c>
      <c r="H511" s="124"/>
      <c r="I511" s="124"/>
      <c r="J511" s="137"/>
      <c r="K511" s="222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8"/>
      <c r="X511" s="18"/>
      <c r="Y511" s="15"/>
      <c r="Z511" s="15"/>
      <c r="AA511" s="15" t="s">
        <v>147</v>
      </c>
      <c r="AB511" s="109" t="s">
        <v>148</v>
      </c>
      <c r="AC511" s="15" t="s">
        <v>149</v>
      </c>
      <c r="AD511" s="15" t="s">
        <v>150</v>
      </c>
      <c r="AE511" s="15" t="s">
        <v>151</v>
      </c>
      <c r="AF511" s="15" t="s">
        <v>152</v>
      </c>
      <c r="AG511" s="15" t="s">
        <v>153</v>
      </c>
      <c r="AH511" s="15">
        <v>2</v>
      </c>
    </row>
    <row r="512" spans="1:34" ht="12.75" hidden="1">
      <c r="A512" s="15"/>
      <c r="B512" s="146"/>
      <c r="C512" s="127"/>
      <c r="D512" s="126"/>
      <c r="E512" s="127"/>
      <c r="F512" s="156" t="s">
        <v>154</v>
      </c>
      <c r="G512" s="124">
        <f>AH512</f>
        <v>3</v>
      </c>
      <c r="H512" s="124"/>
      <c r="I512" s="124"/>
      <c r="J512" s="137"/>
      <c r="K512" s="222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8"/>
      <c r="X512" s="18"/>
      <c r="Y512" s="15"/>
      <c r="Z512" s="15"/>
      <c r="AA512" s="15"/>
      <c r="AB512" s="15"/>
      <c r="AC512" s="15"/>
      <c r="AD512" s="15"/>
      <c r="AE512" s="15"/>
      <c r="AF512" s="15"/>
      <c r="AG512" s="15"/>
      <c r="AH512" s="15">
        <v>3</v>
      </c>
    </row>
    <row r="513" spans="1:34" ht="12.75" hidden="1">
      <c r="A513" s="15"/>
      <c r="B513" s="146"/>
      <c r="C513" s="127"/>
      <c r="D513" s="126"/>
      <c r="E513" s="127"/>
      <c r="F513" s="156" t="s">
        <v>155</v>
      </c>
      <c r="G513" s="124">
        <f>AH513</f>
        <v>1</v>
      </c>
      <c r="H513" s="124"/>
      <c r="I513" s="124"/>
      <c r="J513" s="137"/>
      <c r="K513" s="222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8"/>
      <c r="X513" s="18"/>
      <c r="Y513" s="15"/>
      <c r="Z513" s="15"/>
      <c r="AA513" s="109" t="s">
        <v>156</v>
      </c>
      <c r="AB513" s="109" t="s">
        <v>157</v>
      </c>
      <c r="AC513" s="15"/>
      <c r="AD513" s="15"/>
      <c r="AE513" s="15"/>
      <c r="AF513" s="15"/>
      <c r="AG513" s="15"/>
      <c r="AH513" s="15">
        <v>1</v>
      </c>
    </row>
    <row r="514" spans="1:34" ht="12.75" hidden="1">
      <c r="A514" s="15"/>
      <c r="B514" s="139"/>
      <c r="C514" s="157"/>
      <c r="D514" s="157"/>
      <c r="E514" s="157"/>
      <c r="F514" s="158"/>
      <c r="G514" s="140"/>
      <c r="H514" s="140"/>
      <c r="I514" s="140"/>
      <c r="J514" s="141"/>
      <c r="K514" s="222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 t="s">
        <v>140</v>
      </c>
      <c r="AB514" s="15" t="s">
        <v>140</v>
      </c>
      <c r="AC514" s="15"/>
      <c r="AD514" s="15"/>
      <c r="AE514" s="15"/>
      <c r="AF514" s="15"/>
      <c r="AG514" s="15"/>
      <c r="AH514" s="15"/>
    </row>
    <row r="515" spans="1:34" ht="12.75" hidden="1">
      <c r="A515" s="15"/>
      <c r="B515" s="43"/>
      <c r="C515" s="159"/>
      <c r="D515" s="159"/>
      <c r="E515" s="159"/>
      <c r="F515" s="160"/>
      <c r="G515" s="43"/>
      <c r="H515" s="43"/>
      <c r="I515" s="43"/>
      <c r="J515" s="15"/>
      <c r="K515" s="222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 t="s">
        <v>158</v>
      </c>
      <c r="AB515" s="109" t="s">
        <v>159</v>
      </c>
      <c r="AC515" s="15"/>
      <c r="AD515" s="15"/>
      <c r="AE515" s="15"/>
      <c r="AF515" s="15"/>
      <c r="AG515" s="15"/>
      <c r="AH515" s="15"/>
    </row>
    <row r="516" spans="1:34" ht="12.75" hidden="1">
      <c r="A516" s="15"/>
      <c r="B516" s="153"/>
      <c r="C516" s="243"/>
      <c r="D516" s="243"/>
      <c r="E516" s="243"/>
      <c r="F516" s="244"/>
      <c r="G516" s="135"/>
      <c r="H516" s="135"/>
      <c r="I516" s="135"/>
      <c r="J516" s="136"/>
      <c r="K516" s="222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09" t="s">
        <v>160</v>
      </c>
      <c r="AB516" s="15" t="s">
        <v>158</v>
      </c>
      <c r="AC516" s="15"/>
      <c r="AD516" s="15"/>
      <c r="AE516" s="15"/>
      <c r="AF516" s="15"/>
      <c r="AG516" s="15"/>
      <c r="AH516" s="15"/>
    </row>
    <row r="517" spans="1:34" ht="12.75" hidden="1">
      <c r="A517" s="15"/>
      <c r="B517" s="146"/>
      <c r="C517" s="125" t="s">
        <v>161</v>
      </c>
      <c r="D517" s="127"/>
      <c r="E517" s="127"/>
      <c r="F517" s="156" t="s">
        <v>162</v>
      </c>
      <c r="G517" s="124">
        <f>AH517</f>
        <v>1</v>
      </c>
      <c r="H517" s="124"/>
      <c r="I517" s="124"/>
      <c r="J517" s="137"/>
      <c r="K517" s="222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8"/>
      <c r="Y517" s="18"/>
      <c r="Z517" s="18"/>
      <c r="AA517" s="15"/>
      <c r="AB517" s="15"/>
      <c r="AC517" s="15"/>
      <c r="AD517" s="15"/>
      <c r="AE517" s="15"/>
      <c r="AF517" s="15"/>
      <c r="AG517" s="15"/>
      <c r="AH517" s="15">
        <v>1</v>
      </c>
    </row>
    <row r="518" spans="1:34" ht="12.75" hidden="1">
      <c r="A518" s="15"/>
      <c r="B518" s="146"/>
      <c r="C518" s="129"/>
      <c r="D518" s="127"/>
      <c r="E518" s="127"/>
      <c r="F518" s="156" t="s">
        <v>163</v>
      </c>
      <c r="G518" s="124">
        <f>AH518</f>
        <v>1</v>
      </c>
      <c r="H518" s="124"/>
      <c r="I518" s="124"/>
      <c r="J518" s="137"/>
      <c r="K518" s="222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8"/>
      <c r="Y518" s="18"/>
      <c r="Z518" s="18"/>
      <c r="AA518" s="15"/>
      <c r="AB518" s="15"/>
      <c r="AC518" s="15"/>
      <c r="AD518" s="15"/>
      <c r="AE518" s="15"/>
      <c r="AF518" s="15"/>
      <c r="AG518" s="15"/>
      <c r="AH518" s="15">
        <v>1</v>
      </c>
    </row>
    <row r="519" spans="1:34" ht="12.75" hidden="1">
      <c r="A519" s="15"/>
      <c r="B519" s="146"/>
      <c r="C519" s="127"/>
      <c r="D519" s="127"/>
      <c r="E519" s="127"/>
      <c r="F519" s="156" t="s">
        <v>164</v>
      </c>
      <c r="G519" s="124">
        <f>AH519</f>
        <v>1</v>
      </c>
      <c r="H519" s="124"/>
      <c r="I519" s="124"/>
      <c r="J519" s="137"/>
      <c r="K519" s="222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8"/>
      <c r="Y519" s="18"/>
      <c r="Z519" s="18"/>
      <c r="AA519" s="15"/>
      <c r="AB519" s="15"/>
      <c r="AC519" s="15"/>
      <c r="AD519" s="15"/>
      <c r="AE519" s="15"/>
      <c r="AF519" s="15"/>
      <c r="AG519" s="15"/>
      <c r="AH519" s="15">
        <v>1</v>
      </c>
    </row>
    <row r="520" spans="1:34" ht="12.75" hidden="1">
      <c r="A520" s="15"/>
      <c r="B520" s="146"/>
      <c r="C520" s="127"/>
      <c r="D520" s="127"/>
      <c r="E520" s="127"/>
      <c r="F520" s="156" t="s">
        <v>165</v>
      </c>
      <c r="G520" s="124">
        <f>AH520</f>
        <v>1</v>
      </c>
      <c r="H520" s="124"/>
      <c r="I520" s="124"/>
      <c r="J520" s="137"/>
      <c r="K520" s="222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8"/>
      <c r="Y520" s="18"/>
      <c r="Z520" s="18"/>
      <c r="AA520" s="15" t="s">
        <v>166</v>
      </c>
      <c r="AB520" s="15"/>
      <c r="AC520" s="15"/>
      <c r="AD520" s="15"/>
      <c r="AE520" s="15"/>
      <c r="AF520" s="15"/>
      <c r="AG520" s="15"/>
      <c r="AH520" s="15">
        <v>1</v>
      </c>
    </row>
    <row r="521" spans="1:34" ht="12.75" hidden="1">
      <c r="A521" s="15"/>
      <c r="B521" s="146"/>
      <c r="C521" s="127"/>
      <c r="D521" s="127"/>
      <c r="E521" s="127"/>
      <c r="F521" s="156" t="s">
        <v>167</v>
      </c>
      <c r="G521" s="124">
        <f>AH521</f>
        <v>1</v>
      </c>
      <c r="H521" s="124"/>
      <c r="I521" s="124"/>
      <c r="J521" s="137"/>
      <c r="K521" s="222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8"/>
      <c r="Y521" s="18"/>
      <c r="Z521" s="18"/>
      <c r="AA521" s="15" t="s">
        <v>168</v>
      </c>
      <c r="AB521" s="15"/>
      <c r="AC521" s="15"/>
      <c r="AD521" s="15"/>
      <c r="AE521" s="15"/>
      <c r="AF521" s="15"/>
      <c r="AG521" s="15"/>
      <c r="AH521" s="15">
        <v>1</v>
      </c>
    </row>
    <row r="522" spans="1:34" ht="12.75" hidden="1">
      <c r="A522" s="15"/>
      <c r="B522" s="146"/>
      <c r="C522" s="124"/>
      <c r="D522" s="124"/>
      <c r="E522" s="124"/>
      <c r="F522" s="130"/>
      <c r="G522" s="124"/>
      <c r="H522" s="124"/>
      <c r="I522" s="124"/>
      <c r="J522" s="137"/>
      <c r="K522" s="222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 t="s">
        <v>169</v>
      </c>
      <c r="AB522" s="15"/>
      <c r="AC522" s="15"/>
      <c r="AD522" s="15"/>
      <c r="AE522" s="15"/>
      <c r="AF522" s="15"/>
      <c r="AG522" s="15"/>
      <c r="AH522" s="15"/>
    </row>
    <row r="523" spans="1:34" ht="12.75" hidden="1">
      <c r="A523" s="15"/>
      <c r="B523" s="146"/>
      <c r="C523" s="124"/>
      <c r="D523" s="131"/>
      <c r="E523" s="124"/>
      <c r="F523" s="132" t="s">
        <v>170</v>
      </c>
      <c r="G523" s="124">
        <f>AH523</f>
        <v>2</v>
      </c>
      <c r="H523" s="131"/>
      <c r="I523" s="124"/>
      <c r="J523" s="137"/>
      <c r="K523" s="222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>
        <v>2</v>
      </c>
    </row>
    <row r="524" spans="1:34" ht="12.75" hidden="1">
      <c r="A524" s="15"/>
      <c r="B524" s="147"/>
      <c r="C524" s="140"/>
      <c r="D524" s="140"/>
      <c r="E524" s="140"/>
      <c r="F524" s="140"/>
      <c r="G524" s="140"/>
      <c r="H524" s="140"/>
      <c r="I524" s="140"/>
      <c r="J524" s="141"/>
      <c r="K524" s="222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</row>
    <row r="525" spans="1:34" ht="12.75" hidden="1">
      <c r="A525" s="15"/>
      <c r="B525" s="134"/>
      <c r="C525" s="134" t="s">
        <v>0</v>
      </c>
      <c r="D525" s="72"/>
      <c r="E525" s="72"/>
      <c r="F525" s="72"/>
      <c r="G525" s="72"/>
      <c r="H525" s="72"/>
      <c r="I525" s="72"/>
      <c r="J525" s="15"/>
      <c r="K525" s="222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</row>
    <row r="526" spans="1:34" ht="12.75" hidden="1">
      <c r="A526" s="15"/>
      <c r="B526" s="148"/>
      <c r="C526" s="135"/>
      <c r="D526" s="135"/>
      <c r="E526" s="135"/>
      <c r="F526" s="135"/>
      <c r="G526" s="149"/>
      <c r="H526" s="135"/>
      <c r="I526" s="136"/>
      <c r="J526" s="15"/>
      <c r="K526" s="222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</row>
    <row r="527" spans="1:34" ht="12.75" hidden="1">
      <c r="A527" s="15"/>
      <c r="B527" s="146"/>
      <c r="C527" s="124"/>
      <c r="D527" s="131"/>
      <c r="E527" s="124"/>
      <c r="F527" s="128" t="s">
        <v>171</v>
      </c>
      <c r="G527" s="106">
        <f>($AA$527-19)</f>
        <v>0</v>
      </c>
      <c r="H527" s="131"/>
      <c r="I527" s="137"/>
      <c r="J527" s="15"/>
      <c r="K527" s="222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26">
        <v>19</v>
      </c>
      <c r="AB527" s="15"/>
      <c r="AC527" s="15"/>
      <c r="AD527" s="15"/>
      <c r="AE527" s="15"/>
      <c r="AF527" s="15"/>
      <c r="AG527" s="15"/>
      <c r="AH527" s="15"/>
    </row>
    <row r="528" spans="1:34" ht="12.75" hidden="1">
      <c r="A528" s="15"/>
      <c r="B528" s="138"/>
      <c r="C528" s="124"/>
      <c r="D528" s="131"/>
      <c r="E528" s="124"/>
      <c r="F528" s="124"/>
      <c r="G528" s="105"/>
      <c r="H528" s="124"/>
      <c r="I528" s="137"/>
      <c r="J528" s="15"/>
      <c r="K528" s="222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</row>
    <row r="529" spans="1:34" ht="12.75" hidden="1">
      <c r="A529" s="15"/>
      <c r="B529" s="146"/>
      <c r="C529" s="124"/>
      <c r="D529" s="131"/>
      <c r="E529" s="124"/>
      <c r="F529" s="128" t="s">
        <v>172</v>
      </c>
      <c r="G529" s="386">
        <f>$AA$529*100</f>
        <v>13000</v>
      </c>
      <c r="H529" s="133"/>
      <c r="I529" s="137"/>
      <c r="J529" s="15"/>
      <c r="K529" s="222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26">
        <v>130</v>
      </c>
      <c r="AB529" s="15"/>
      <c r="AC529" s="15"/>
      <c r="AD529" s="15"/>
      <c r="AE529" s="15"/>
      <c r="AF529" s="15"/>
      <c r="AG529" s="15"/>
      <c r="AH529" s="15"/>
    </row>
    <row r="530" spans="1:34" ht="12.75" hidden="1">
      <c r="A530" s="17"/>
      <c r="B530" s="150"/>
      <c r="C530" s="151"/>
      <c r="D530" s="151"/>
      <c r="E530" s="151"/>
      <c r="F530" s="151"/>
      <c r="G530" s="151"/>
      <c r="H530" s="151"/>
      <c r="I530" s="152"/>
      <c r="J530" s="17"/>
      <c r="K530" s="223"/>
      <c r="L530" s="17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</row>
    <row r="531" spans="1:34" ht="13.5" hidden="1" thickBot="1">
      <c r="A531" s="143" t="s">
        <v>0</v>
      </c>
      <c r="B531" s="143" t="s">
        <v>0</v>
      </c>
      <c r="C531" s="143" t="s">
        <v>0</v>
      </c>
      <c r="D531" s="143" t="s">
        <v>0</v>
      </c>
      <c r="E531" s="143" t="s">
        <v>0</v>
      </c>
      <c r="F531" s="143" t="s">
        <v>0</v>
      </c>
      <c r="G531" s="143" t="s">
        <v>0</v>
      </c>
      <c r="H531" s="143" t="s">
        <v>0</v>
      </c>
      <c r="I531" s="123"/>
      <c r="J531" s="123"/>
      <c r="K531" s="224"/>
      <c r="L531" s="123"/>
      <c r="M531" s="123"/>
      <c r="N531" s="123"/>
      <c r="O531" s="123"/>
      <c r="P531" s="123"/>
      <c r="Q531" s="123"/>
      <c r="R531" s="123"/>
      <c r="S531" s="123"/>
      <c r="T531" s="123"/>
      <c r="U531" s="123"/>
      <c r="V531" s="123"/>
      <c r="W531" s="123"/>
      <c r="X531" s="123"/>
      <c r="Y531" s="123"/>
      <c r="Z531" s="123"/>
      <c r="AA531" s="123"/>
      <c r="AB531" s="123"/>
      <c r="AC531" s="123"/>
      <c r="AD531" s="123"/>
      <c r="AE531" s="123"/>
      <c r="AF531" s="123"/>
      <c r="AG531" s="123"/>
      <c r="AH531" s="123"/>
    </row>
    <row r="532" spans="1:34" ht="13.5" hidden="1" thickTop="1">
      <c r="A532" s="18"/>
      <c r="B532" s="18"/>
      <c r="C532" s="18"/>
      <c r="D532" s="18"/>
      <c r="E532" s="18"/>
      <c r="F532" s="18"/>
      <c r="G532" s="18"/>
      <c r="H532" s="18"/>
      <c r="I532" s="15"/>
      <c r="J532" s="15"/>
      <c r="K532" s="222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</row>
    <row r="533" spans="1:34" ht="12.75" hidden="1">
      <c r="A533" s="15"/>
      <c r="B533" s="272"/>
      <c r="C533" s="273"/>
      <c r="D533" s="273"/>
      <c r="E533" s="273"/>
      <c r="F533" s="273"/>
      <c r="G533" s="273"/>
      <c r="H533" s="274"/>
      <c r="I533" s="15"/>
      <c r="J533" s="15"/>
      <c r="K533" s="222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</row>
    <row r="534" spans="1:34" ht="12.75" hidden="1">
      <c r="A534" s="15"/>
      <c r="B534" s="275"/>
      <c r="C534" s="276" t="s">
        <v>31</v>
      </c>
      <c r="D534" s="276" t="s">
        <v>173</v>
      </c>
      <c r="E534" s="276" t="s">
        <v>174</v>
      </c>
      <c r="F534" s="277" t="s">
        <v>175</v>
      </c>
      <c r="G534" s="278"/>
      <c r="H534" s="279"/>
      <c r="I534" s="15"/>
      <c r="J534" s="15"/>
      <c r="K534" s="222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</row>
    <row r="535" spans="1:34" ht="12.75" hidden="1">
      <c r="A535" s="15"/>
      <c r="B535" s="275"/>
      <c r="C535" s="280" t="s">
        <v>176</v>
      </c>
      <c r="D535" s="276" t="s">
        <v>177</v>
      </c>
      <c r="E535" s="276" t="s">
        <v>178</v>
      </c>
      <c r="F535" s="277" t="s">
        <v>179</v>
      </c>
      <c r="G535" s="278"/>
      <c r="H535" s="279"/>
      <c r="I535" s="15"/>
      <c r="J535" s="15"/>
      <c r="K535" s="222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</row>
    <row r="536" spans="1:34" ht="12.75" hidden="1">
      <c r="A536" s="15"/>
      <c r="B536" s="275"/>
      <c r="C536" s="281"/>
      <c r="D536" s="281"/>
      <c r="E536" s="281"/>
      <c r="F536" s="281"/>
      <c r="G536" s="282"/>
      <c r="H536" s="279"/>
      <c r="I536" s="15"/>
      <c r="J536" s="15"/>
      <c r="K536" s="222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</row>
    <row r="537" spans="1:34" ht="12.75" hidden="1">
      <c r="A537" s="15"/>
      <c r="B537" s="275"/>
      <c r="C537" s="288" t="s">
        <v>114</v>
      </c>
      <c r="D537" s="246">
        <f>IF($G510=1,0.1,IF($G510=2,0.07,0))</f>
        <v>0.07</v>
      </c>
      <c r="E537" s="246">
        <f>IF($G$510=1,8,IF($G$510=2,0,0))</f>
        <v>0</v>
      </c>
      <c r="F537" s="289">
        <f>IF($G$510=1,0.8,1.6)</f>
        <v>1.6</v>
      </c>
      <c r="G537" s="212"/>
      <c r="H537" s="279"/>
      <c r="I537" s="15"/>
      <c r="J537" s="15"/>
      <c r="K537" s="222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</row>
    <row r="538" spans="1:34" ht="12.75" hidden="1">
      <c r="A538" s="15"/>
      <c r="B538" s="275"/>
      <c r="C538" s="288" t="s">
        <v>115</v>
      </c>
      <c r="D538" s="246">
        <f>IF($G$510=1,0.1,IF($G$510=2,0.07,0))</f>
        <v>0.07</v>
      </c>
      <c r="E538" s="246">
        <f>IF($G$510=1,8,IF($G$510=2,0,0))</f>
        <v>0</v>
      </c>
      <c r="F538" s="289">
        <f>IF($G$510=1,1.33,2.67)</f>
        <v>2.67</v>
      </c>
      <c r="G538" s="212"/>
      <c r="H538" s="279"/>
      <c r="I538" s="15"/>
      <c r="J538" s="15"/>
      <c r="K538" s="222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</row>
    <row r="539" spans="1:34" ht="12.75" hidden="1">
      <c r="A539" s="15"/>
      <c r="B539" s="275"/>
      <c r="C539" s="288" t="s">
        <v>116</v>
      </c>
      <c r="D539" s="246">
        <f>IF($G$510=1,0.1,IF($G$510=2,0.07,0))</f>
        <v>0.07</v>
      </c>
      <c r="E539" s="246">
        <f>IF($G$510=1,8,IF($G$510=2,0,0))</f>
        <v>0</v>
      </c>
      <c r="F539" s="289">
        <f>IF($G$510=1,0.67,1.34)</f>
        <v>1.34</v>
      </c>
      <c r="G539" s="212"/>
      <c r="H539" s="279"/>
      <c r="I539" s="15"/>
      <c r="J539" s="15"/>
      <c r="K539" s="222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</row>
    <row r="540" spans="1:34" ht="12.75" hidden="1">
      <c r="A540" s="15"/>
      <c r="B540" s="275"/>
      <c r="C540" s="288" t="s">
        <v>117</v>
      </c>
      <c r="D540" s="246">
        <f>IF($G$510=1,0.1,IF($G$510=2,0.07,0))</f>
        <v>0.07</v>
      </c>
      <c r="E540" s="246">
        <f>IF($G$510=1,8,IF($G$510=2,0,0))</f>
        <v>0</v>
      </c>
      <c r="F540" s="289">
        <f>IF($G$510=1,0.67,1.34)</f>
        <v>1.34</v>
      </c>
      <c r="G540" s="212"/>
      <c r="H540" s="279"/>
      <c r="I540" s="15"/>
      <c r="J540" s="15"/>
      <c r="K540" s="222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</row>
    <row r="541" spans="1:34" ht="12.75" hidden="1">
      <c r="A541" s="15"/>
      <c r="B541" s="275"/>
      <c r="C541" s="288" t="s">
        <v>118</v>
      </c>
      <c r="D541" s="246">
        <f>IF($G$510=1,0.1,IF($G$510=2,0.07,0))</f>
        <v>0.07</v>
      </c>
      <c r="E541" s="246">
        <f>IF($G$510=1,8,IF($G$510=2,0,0))</f>
        <v>0</v>
      </c>
      <c r="F541" s="289">
        <f>IF($G$510=1,0.8,1.6)</f>
        <v>1.6</v>
      </c>
      <c r="G541" s="212"/>
      <c r="H541" s="279"/>
      <c r="I541" s="15"/>
      <c r="J541" s="15"/>
      <c r="K541" s="222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</row>
    <row r="542" spans="1:34" ht="12.75" hidden="1">
      <c r="A542" s="15"/>
      <c r="B542" s="275"/>
      <c r="C542" s="276"/>
      <c r="D542" s="281"/>
      <c r="E542" s="281"/>
      <c r="F542" s="278"/>
      <c r="G542" s="278"/>
      <c r="H542" s="279"/>
      <c r="I542" s="15"/>
      <c r="J542" s="15"/>
      <c r="K542" s="222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</row>
    <row r="543" spans="1:34" ht="12.75" hidden="1">
      <c r="A543" s="15"/>
      <c r="B543" s="275"/>
      <c r="C543" s="288" t="s">
        <v>180</v>
      </c>
      <c r="D543" s="246">
        <f>IF($G$512=1,0.15,IF($G$512=2,0.05,IF($G$512=3,0.1,0)))</f>
        <v>0.1</v>
      </c>
      <c r="E543" s="246">
        <f>IF($G$512=1,8,IF($G$512=2,16,IF($G$512=3,0,0)))</f>
        <v>0</v>
      </c>
      <c r="F543" s="289">
        <f>IF($G$512=1,3.2,IF($G$512=2,0.64,IF($G$512=3,3.2,0)))</f>
        <v>3.2</v>
      </c>
      <c r="G543" s="212"/>
      <c r="H543" s="279"/>
      <c r="I543" s="15"/>
      <c r="J543" s="15"/>
      <c r="K543" s="222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</row>
    <row r="544" spans="1:34" ht="12.75" hidden="1">
      <c r="A544" s="18" t="s">
        <v>0</v>
      </c>
      <c r="B544" s="283" t="s">
        <v>0</v>
      </c>
      <c r="C544" s="288" t="s">
        <v>181</v>
      </c>
      <c r="D544" s="246">
        <f>IF($G$512=1,0.15,IF($G$512=2,0.05,IF($G$512=3,0.1,0)))</f>
        <v>0.1</v>
      </c>
      <c r="E544" s="246">
        <f>IF($G$512=1,8,IF($G$512=2,16,IF($G$512=3,0,0)))</f>
        <v>0</v>
      </c>
      <c r="F544" s="289">
        <f>IF($G$512=1,1.35,IF($G$512=2,0.27,IF($G$512=3,1.35,0)))</f>
        <v>1.35</v>
      </c>
      <c r="G544" s="212"/>
      <c r="H544" s="279"/>
      <c r="I544" s="15"/>
      <c r="J544" s="15"/>
      <c r="K544" s="222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</row>
    <row r="545" spans="1:34" ht="12.75" hidden="1">
      <c r="A545" s="18" t="s">
        <v>0</v>
      </c>
      <c r="B545" s="284" t="s">
        <v>0</v>
      </c>
      <c r="C545" s="285"/>
      <c r="D545" s="285"/>
      <c r="E545" s="285"/>
      <c r="F545" s="285"/>
      <c r="G545" s="286"/>
      <c r="H545" s="287"/>
      <c r="I545" s="15"/>
      <c r="J545" s="15"/>
      <c r="K545" s="222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</row>
    <row r="546" spans="1:34" ht="12.75" hidden="1">
      <c r="A546" s="15"/>
      <c r="B546" s="15"/>
      <c r="C546" s="16"/>
      <c r="D546" s="16"/>
      <c r="E546" s="16"/>
      <c r="F546" s="16"/>
      <c r="G546" s="15"/>
      <c r="H546" s="15"/>
      <c r="I546" s="15"/>
      <c r="J546" s="15"/>
      <c r="K546" s="222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</row>
    <row r="547" spans="1:34" ht="12.75" hidden="1">
      <c r="A547" s="15"/>
      <c r="B547" s="290"/>
      <c r="C547" s="291"/>
      <c r="D547" s="291"/>
      <c r="E547" s="291"/>
      <c r="F547" s="291"/>
      <c r="G547" s="291"/>
      <c r="H547" s="292"/>
      <c r="I547" s="15"/>
      <c r="J547" s="15"/>
      <c r="K547" s="222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</row>
    <row r="548" spans="1:34" ht="12.75" hidden="1">
      <c r="A548" s="18" t="s">
        <v>0</v>
      </c>
      <c r="B548" s="293"/>
      <c r="C548" s="276" t="s">
        <v>31</v>
      </c>
      <c r="D548" s="276" t="s">
        <v>173</v>
      </c>
      <c r="E548" s="276" t="s">
        <v>174</v>
      </c>
      <c r="F548" s="277" t="s">
        <v>175</v>
      </c>
      <c r="G548" s="278"/>
      <c r="H548" s="279"/>
      <c r="I548" s="15"/>
      <c r="J548" s="15"/>
      <c r="K548" s="222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</row>
    <row r="549" spans="1:34" ht="12.75" hidden="1">
      <c r="A549" s="18" t="s">
        <v>0</v>
      </c>
      <c r="B549" s="293"/>
      <c r="C549" s="280" t="s">
        <v>176</v>
      </c>
      <c r="D549" s="276" t="s">
        <v>177</v>
      </c>
      <c r="E549" s="276" t="s">
        <v>178</v>
      </c>
      <c r="F549" s="277" t="s">
        <v>179</v>
      </c>
      <c r="G549" s="278"/>
      <c r="H549" s="279"/>
      <c r="I549" s="15"/>
      <c r="J549" s="15"/>
      <c r="K549" s="222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</row>
    <row r="550" spans="1:34" ht="12.75" hidden="1">
      <c r="A550" s="15"/>
      <c r="B550" s="293"/>
      <c r="C550" s="297"/>
      <c r="D550" s="297"/>
      <c r="E550" s="297"/>
      <c r="F550" s="297"/>
      <c r="G550" s="298"/>
      <c r="H550" s="296"/>
      <c r="I550" s="15"/>
      <c r="J550" s="15"/>
      <c r="K550" s="222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</row>
    <row r="551" spans="1:34" ht="12.75" hidden="1">
      <c r="A551" s="15"/>
      <c r="B551" s="293"/>
      <c r="C551" s="288" t="s">
        <v>182</v>
      </c>
      <c r="D551" s="246">
        <f>IF($G$511=1,0.15,IF($G$511=2,0.05,IF($G$511=3,0.2,0)))</f>
        <v>0.05</v>
      </c>
      <c r="E551" s="246">
        <f>IF($G$511=1,8,IF($G$511=2,0,IF($G$511=3,0,0)))</f>
        <v>0</v>
      </c>
      <c r="F551" s="289">
        <f>IF($G$511=1,2,IF($G$511=2,2,IF($G$511=3,0,0)))</f>
        <v>2</v>
      </c>
      <c r="G551" s="212"/>
      <c r="H551" s="296"/>
      <c r="I551" s="15"/>
      <c r="J551" s="15"/>
      <c r="K551" s="222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</row>
    <row r="552" spans="1:34" ht="12.75" hidden="1">
      <c r="A552" s="15"/>
      <c r="B552" s="293"/>
      <c r="C552" s="288" t="s">
        <v>183</v>
      </c>
      <c r="D552" s="246">
        <f>IF($G$511=1,0.15,IF($G$511=2,0.05,IF($G$511=3,0.2,0)))</f>
        <v>0.05</v>
      </c>
      <c r="E552" s="246">
        <f>IF($G$511=1,8,IF($G$511=2,0,IF($G$511=3,0,0)))</f>
        <v>0</v>
      </c>
      <c r="F552" s="289">
        <f>IF($G$511=1,1.33,IF($G$511=2,1.33,IF($G$511=3,0,0)))</f>
        <v>1.33</v>
      </c>
      <c r="G552" s="212"/>
      <c r="H552" s="296"/>
      <c r="I552" s="15"/>
      <c r="J552" s="15"/>
      <c r="K552" s="222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</row>
    <row r="553" spans="1:34" ht="12.75" hidden="1">
      <c r="A553" s="15"/>
      <c r="B553" s="293"/>
      <c r="C553" s="294"/>
      <c r="D553" s="297" t="s">
        <v>0</v>
      </c>
      <c r="E553" s="297"/>
      <c r="F553" s="295"/>
      <c r="G553" s="295"/>
      <c r="H553" s="296"/>
      <c r="I553" s="15"/>
      <c r="J553" s="15"/>
      <c r="K553" s="222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</row>
    <row r="554" spans="1:34" ht="12.75" hidden="1">
      <c r="A554" s="15"/>
      <c r="B554" s="293"/>
      <c r="C554" s="288" t="s">
        <v>184</v>
      </c>
      <c r="D554" s="246">
        <f>IF($G$512=1,0.15,IF($G$512=2,0.05,IF($G$512=3,0.1,0)))</f>
        <v>0.1</v>
      </c>
      <c r="E554" s="246">
        <f>IF($G$512=1,8,IF($G$512=2,16,IF($G$512=3,0,0)))</f>
        <v>0</v>
      </c>
      <c r="F554" s="289">
        <f>IF($G$512=1,2.67,IF($G$512=2,0.534,IF($G$512=3,2.67,0)))</f>
        <v>2.67</v>
      </c>
      <c r="G554" s="212"/>
      <c r="H554" s="296"/>
      <c r="I554" s="15"/>
      <c r="J554" s="15"/>
      <c r="K554" s="222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</row>
    <row r="555" spans="1:34" ht="12.75" hidden="1">
      <c r="A555" s="15"/>
      <c r="B555" s="293"/>
      <c r="C555" s="288" t="s">
        <v>185</v>
      </c>
      <c r="D555" s="246">
        <f>IF($G$512=1,0.15,IF($G$512=2,0.05,IF($G$512=3,0.1,0)))</f>
        <v>0.1</v>
      </c>
      <c r="E555" s="246">
        <f>IF($G$512=1,8,IF($G$512=2,16,IF($G$512=3,0,0)))</f>
        <v>0</v>
      </c>
      <c r="F555" s="289">
        <f>IF($G$512=1,3.2,IF($G$512=2,0.64,IF($G$512=3,3.2,0)))</f>
        <v>3.2</v>
      </c>
      <c r="G555" s="212"/>
      <c r="H555" s="296"/>
      <c r="I555" s="15"/>
      <c r="J555" s="15"/>
      <c r="K555" s="222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</row>
    <row r="556" spans="1:34" ht="12.75" hidden="1">
      <c r="A556" s="15"/>
      <c r="B556" s="293"/>
      <c r="C556" s="288" t="s">
        <v>186</v>
      </c>
      <c r="D556" s="246">
        <f>IF($G$512=1,0.15,IF($G$512=2,0.05,IF($G$512=3,0.1,0)))</f>
        <v>0.1</v>
      </c>
      <c r="E556" s="246">
        <f>IF($G$512=1,8,IF($G$512=2,16,IF($G$512=3,0,0)))</f>
        <v>0</v>
      </c>
      <c r="F556" s="289">
        <f>IF($G$512=1,1.35,IF($G$512=2,0.27,IF($G$512=3,1.35,0)))</f>
        <v>1.35</v>
      </c>
      <c r="G556" s="212"/>
      <c r="H556" s="296"/>
      <c r="I556" s="15"/>
      <c r="J556" s="15"/>
      <c r="K556" s="222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</row>
    <row r="557" spans="1:34" ht="12.75" hidden="1">
      <c r="A557" s="15"/>
      <c r="B557" s="293"/>
      <c r="C557" s="288" t="s">
        <v>187</v>
      </c>
      <c r="D557" s="246">
        <f>IF($G$512=1,0.15,IF($G$512=2,0.05,IF($G$512=3,0.1,0)))</f>
        <v>0.1</v>
      </c>
      <c r="E557" s="246">
        <f>IF($G$512=1,8,IF($G$512=2,16,IF($G$512=3,0,0)))</f>
        <v>0</v>
      </c>
      <c r="F557" s="289">
        <f>IF($G$512=1,1.35,IF($G$512=2,0.27,IF($G$512=3,1.35,0)))</f>
        <v>1.35</v>
      </c>
      <c r="G557" s="212"/>
      <c r="H557" s="296"/>
      <c r="I557" s="15"/>
      <c r="J557" s="15"/>
      <c r="K557" s="222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</row>
    <row r="558" spans="1:34" ht="12.75" hidden="1">
      <c r="A558" s="15"/>
      <c r="B558" s="293"/>
      <c r="C558" s="288" t="s">
        <v>188</v>
      </c>
      <c r="D558" s="246">
        <f>IF($G$512=1,0.15,IF($G$512=2,0.05,IF($G$512=3,0.1,0)))</f>
        <v>0.1</v>
      </c>
      <c r="E558" s="246">
        <f>IF($G$512=1,8,IF($G$512=2,16,IF($G$512=3,0,0)))</f>
        <v>0</v>
      </c>
      <c r="F558" s="289">
        <f>IF($G$512=1,1.6,IF($G$512=2,0.32,IF($G$512=3,1.6,0)))</f>
        <v>1.6</v>
      </c>
      <c r="G558" s="212"/>
      <c r="H558" s="296"/>
      <c r="I558" s="15"/>
      <c r="J558" s="15"/>
      <c r="K558" s="222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</row>
    <row r="559" spans="1:34" ht="12.75" hidden="1">
      <c r="A559" s="15"/>
      <c r="B559" s="293"/>
      <c r="C559" s="294"/>
      <c r="D559" s="297"/>
      <c r="E559" s="297"/>
      <c r="F559" s="295"/>
      <c r="G559" s="295"/>
      <c r="H559" s="296"/>
      <c r="I559" s="15"/>
      <c r="J559" s="15"/>
      <c r="K559" s="222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</row>
    <row r="560" spans="1:34" ht="12.75" hidden="1">
      <c r="A560" s="15"/>
      <c r="B560" s="293"/>
      <c r="C560" s="288" t="s">
        <v>189</v>
      </c>
      <c r="D560" s="246">
        <f>IF($G$513=1,0.15,IF($G$513=2,0.1,0))</f>
        <v>0.15</v>
      </c>
      <c r="E560" s="246">
        <f>IF($G$513=1,0.5,IF($G$513=2,0,0))</f>
        <v>0.5</v>
      </c>
      <c r="F560" s="289">
        <f>IF($G$513=1,0.33,IF($G$513=2,0.22,0))</f>
        <v>0.33</v>
      </c>
      <c r="G560" s="212"/>
      <c r="H560" s="296"/>
      <c r="I560" s="15"/>
      <c r="J560" s="15"/>
      <c r="K560" s="222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</row>
    <row r="561" spans="1:34" ht="12.75" hidden="1">
      <c r="A561" s="15"/>
      <c r="B561" s="293"/>
      <c r="C561" s="288" t="s">
        <v>190</v>
      </c>
      <c r="D561" s="246">
        <f>IF($G$513=1,0.15,IF($G$513=2,0.1,0))</f>
        <v>0.15</v>
      </c>
      <c r="E561" s="246">
        <f>IF($G$513=1,0.5,IF($G$513=2,0,0))</f>
        <v>0.5</v>
      </c>
      <c r="F561" s="289">
        <f>IF($G$513=1,0.17,IF($G$513=2,0.11,0))</f>
        <v>0.17</v>
      </c>
      <c r="G561" s="212"/>
      <c r="H561" s="296"/>
      <c r="I561" s="15"/>
      <c r="J561" s="15"/>
      <c r="K561" s="222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</row>
    <row r="562" spans="1:34" ht="12.75" hidden="1">
      <c r="A562" s="15"/>
      <c r="B562" s="293"/>
      <c r="C562" s="288" t="s">
        <v>191</v>
      </c>
      <c r="D562" s="246">
        <f>IF($G$513=1,0.15,IF($G$513=2,0.1,0))</f>
        <v>0.15</v>
      </c>
      <c r="E562" s="246">
        <f>IF($G$513=1,0.5,IF($G$513=2,0,0))</f>
        <v>0.5</v>
      </c>
      <c r="F562" s="289">
        <f>IF($G$513=1,0.33,IF($G$513=2,0.22,0))</f>
        <v>0.33</v>
      </c>
      <c r="G562" s="212"/>
      <c r="H562" s="296"/>
      <c r="I562" s="15"/>
      <c r="J562" s="15"/>
      <c r="K562" s="222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</row>
    <row r="563" spans="1:34" ht="12.75" hidden="1">
      <c r="A563" s="18" t="s">
        <v>0</v>
      </c>
      <c r="B563" s="293"/>
      <c r="C563" s="288" t="s">
        <v>192</v>
      </c>
      <c r="D563" s="246">
        <f>IF($G$513=1,0.15,IF($G$513=2,0.1,0))</f>
        <v>0.15</v>
      </c>
      <c r="E563" s="246">
        <f>IF($G$513=1,0.5,IF($G$513=2,0,0))</f>
        <v>0.5</v>
      </c>
      <c r="F563" s="289">
        <f>IF($G$513=1,0.25,IF($G$513=2,0.17,0))</f>
        <v>0.25</v>
      </c>
      <c r="G563" s="212"/>
      <c r="H563" s="296"/>
      <c r="I563" s="15"/>
      <c r="J563" s="15"/>
      <c r="K563" s="222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</row>
    <row r="564" spans="1:34" ht="12.75" hidden="1">
      <c r="A564" s="18" t="s">
        <v>0</v>
      </c>
      <c r="B564" s="299"/>
      <c r="C564" s="300" t="s">
        <v>0</v>
      </c>
      <c r="D564" s="300" t="s">
        <v>0</v>
      </c>
      <c r="E564" s="300" t="s">
        <v>0</v>
      </c>
      <c r="F564" s="300" t="s">
        <v>0</v>
      </c>
      <c r="G564" s="301"/>
      <c r="H564" s="302"/>
      <c r="I564" s="15"/>
      <c r="J564" s="15"/>
      <c r="K564" s="222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</row>
    <row r="565" spans="1:34" ht="12.75" hidden="1">
      <c r="A565" s="18"/>
      <c r="B565" s="15"/>
      <c r="C565" s="16"/>
      <c r="D565" s="16"/>
      <c r="E565" s="16"/>
      <c r="F565" s="16"/>
      <c r="G565" s="15"/>
      <c r="H565" s="15"/>
      <c r="I565" s="15"/>
      <c r="J565" s="15"/>
      <c r="K565" s="222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</row>
    <row r="566" spans="1:34" ht="12.75" hidden="1">
      <c r="A566" s="18"/>
      <c r="B566" s="303"/>
      <c r="C566" s="304"/>
      <c r="D566" s="304"/>
      <c r="E566" s="304"/>
      <c r="F566" s="305"/>
      <c r="G566" s="15"/>
      <c r="H566" s="15"/>
      <c r="I566" s="15"/>
      <c r="J566" s="15"/>
      <c r="K566" s="222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</row>
    <row r="567" spans="1:34" ht="12.75" hidden="1">
      <c r="A567" s="15"/>
      <c r="B567" s="306"/>
      <c r="C567" s="276" t="s">
        <v>31</v>
      </c>
      <c r="D567" s="276" t="s">
        <v>193</v>
      </c>
      <c r="E567" s="276" t="s">
        <v>194</v>
      </c>
      <c r="F567" s="307"/>
      <c r="G567" s="15"/>
      <c r="H567" s="15"/>
      <c r="I567" s="15"/>
      <c r="J567" s="15"/>
      <c r="K567" s="222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</row>
    <row r="568" spans="1:34" ht="12.75" hidden="1">
      <c r="A568" s="15"/>
      <c r="B568" s="306"/>
      <c r="C568" s="276" t="s">
        <v>195</v>
      </c>
      <c r="D568" s="276" t="s">
        <v>177</v>
      </c>
      <c r="E568" s="280" t="s">
        <v>196</v>
      </c>
      <c r="F568" s="307"/>
      <c r="G568" s="15"/>
      <c r="H568" s="15"/>
      <c r="I568" s="15"/>
      <c r="J568" s="15"/>
      <c r="K568" s="222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</row>
    <row r="569" spans="1:34" ht="12.75" hidden="1">
      <c r="A569" s="15"/>
      <c r="B569" s="306"/>
      <c r="C569" s="297"/>
      <c r="D569" s="297"/>
      <c r="E569" s="297"/>
      <c r="F569" s="307"/>
      <c r="G569" s="15"/>
      <c r="H569" s="15"/>
      <c r="I569" s="15"/>
      <c r="J569" s="15"/>
      <c r="K569" s="222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</row>
    <row r="570" spans="1:34" ht="12.75" hidden="1">
      <c r="A570" s="15"/>
      <c r="B570" s="306"/>
      <c r="C570" s="312" t="s">
        <v>197</v>
      </c>
      <c r="D570" s="246">
        <v>0.01</v>
      </c>
      <c r="E570" s="311">
        <f>IF(G517=1,7,2)</f>
        <v>7</v>
      </c>
      <c r="F570" s="307"/>
      <c r="G570" s="15"/>
      <c r="H570" s="15"/>
      <c r="I570" s="15"/>
      <c r="J570" s="15"/>
      <c r="K570" s="222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</row>
    <row r="571" spans="1:34" ht="12.75" hidden="1">
      <c r="A571" s="15"/>
      <c r="B571" s="306"/>
      <c r="C571" s="312" t="s">
        <v>198</v>
      </c>
      <c r="D571" s="246">
        <v>0.05</v>
      </c>
      <c r="E571" s="311">
        <f>IF(G519=1,2,7)</f>
        <v>2</v>
      </c>
      <c r="F571" s="307"/>
      <c r="G571" s="15"/>
      <c r="H571" s="15"/>
      <c r="I571" s="15"/>
      <c r="J571" s="15"/>
      <c r="K571" s="222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</row>
    <row r="572" spans="1:34" ht="12.75" hidden="1">
      <c r="A572" s="15"/>
      <c r="B572" s="306"/>
      <c r="C572" s="312" t="s">
        <v>199</v>
      </c>
      <c r="D572" s="246">
        <f>IF($G$518=1,0.01,IF($G$518=2,0.05,0))</f>
        <v>0.01</v>
      </c>
      <c r="E572" s="311">
        <f>IF(G518=1,1,4)</f>
        <v>1</v>
      </c>
      <c r="F572" s="307"/>
      <c r="G572" s="15"/>
      <c r="H572" s="15"/>
      <c r="I572" s="15"/>
      <c r="J572" s="15"/>
      <c r="K572" s="222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</row>
    <row r="573" spans="1:34" ht="12.75" hidden="1">
      <c r="A573" s="15"/>
      <c r="B573" s="306"/>
      <c r="C573" s="312" t="s">
        <v>200</v>
      </c>
      <c r="D573" s="246">
        <f>IF($G$518=1,0.01,IF($G$518=2,0.05,0))</f>
        <v>0.01</v>
      </c>
      <c r="E573" s="311">
        <f>IF(G518=1,1,4)</f>
        <v>1</v>
      </c>
      <c r="F573" s="307"/>
      <c r="G573" s="15"/>
      <c r="H573" s="15"/>
      <c r="I573" s="15"/>
      <c r="J573" s="15"/>
      <c r="K573" s="222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</row>
    <row r="574" spans="1:34" ht="12.75" hidden="1">
      <c r="A574" s="15"/>
      <c r="B574" s="306"/>
      <c r="C574" s="297"/>
      <c r="D574" s="297"/>
      <c r="E574" s="297"/>
      <c r="F574" s="307"/>
      <c r="G574" s="15"/>
      <c r="H574" s="15"/>
      <c r="I574" s="15"/>
      <c r="J574" s="15"/>
      <c r="K574" s="222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</row>
    <row r="575" spans="1:34" ht="12.75" hidden="1">
      <c r="A575" s="15"/>
      <c r="B575" s="306"/>
      <c r="C575" s="312" t="s">
        <v>201</v>
      </c>
      <c r="D575" s="246">
        <f>IF($G$520=1,0.01,IF($G$520=2,0.05,0))</f>
        <v>0.01</v>
      </c>
      <c r="E575" s="311">
        <f>IF(G$520=1,1,4)</f>
        <v>1</v>
      </c>
      <c r="F575" s="307"/>
      <c r="G575" s="15"/>
      <c r="H575" s="15"/>
      <c r="I575" s="15"/>
      <c r="J575" s="15"/>
      <c r="K575" s="222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</row>
    <row r="576" spans="1:34" ht="12.75" hidden="1">
      <c r="A576" s="15"/>
      <c r="B576" s="306"/>
      <c r="C576" s="312" t="s">
        <v>202</v>
      </c>
      <c r="D576" s="246">
        <f>IF($G$520=1,0.01,IF($G$520=2,0.05,0))</f>
        <v>0.01</v>
      </c>
      <c r="E576" s="311">
        <f>IF(G$520=1,1,4)</f>
        <v>1</v>
      </c>
      <c r="F576" s="307"/>
      <c r="G576" s="15"/>
      <c r="H576" s="15"/>
      <c r="I576" s="15"/>
      <c r="J576" s="15"/>
      <c r="K576" s="222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</row>
    <row r="577" spans="1:34" ht="12.75" hidden="1">
      <c r="A577" s="15"/>
      <c r="B577" s="306"/>
      <c r="C577" s="312" t="s">
        <v>203</v>
      </c>
      <c r="D577" s="246">
        <f>IF($G$520=1,0.01,IF($G$520=2,0.05,0))</f>
        <v>0.01</v>
      </c>
      <c r="E577" s="311">
        <f>IF(G$520=1,1,4)</f>
        <v>1</v>
      </c>
      <c r="F577" s="307"/>
      <c r="G577" s="15"/>
      <c r="H577" s="15"/>
      <c r="I577" s="15"/>
      <c r="J577" s="15"/>
      <c r="K577" s="222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</row>
    <row r="578" spans="1:34" ht="12.75" hidden="1">
      <c r="A578" s="15"/>
      <c r="B578" s="306"/>
      <c r="C578" s="312" t="s">
        <v>204</v>
      </c>
      <c r="D578" s="246">
        <f>IF($G$520=1,0.01,IF($G$520=2,0.05,0))</f>
        <v>0.01</v>
      </c>
      <c r="E578" s="311">
        <f>IF(G$520=1,1,4)</f>
        <v>1</v>
      </c>
      <c r="F578" s="307"/>
      <c r="G578" s="15"/>
      <c r="H578" s="15"/>
      <c r="I578" s="15"/>
      <c r="J578" s="15"/>
      <c r="K578" s="222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</row>
    <row r="579" spans="1:34" ht="12.75" hidden="1">
      <c r="A579" s="15"/>
      <c r="B579" s="306"/>
      <c r="C579" s="312" t="s">
        <v>205</v>
      </c>
      <c r="D579" s="246">
        <f>IF($G$520=1,0.01,IF($G$520=2,0.05,0))</f>
        <v>0.01</v>
      </c>
      <c r="E579" s="311">
        <f>IF(G$520=1,1,4)</f>
        <v>1</v>
      </c>
      <c r="F579" s="307"/>
      <c r="G579" s="15"/>
      <c r="H579" s="15"/>
      <c r="I579" s="15"/>
      <c r="J579" s="15"/>
      <c r="K579" s="222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</row>
    <row r="580" spans="1:34" ht="12.75" hidden="1">
      <c r="A580" s="15"/>
      <c r="B580" s="306"/>
      <c r="C580" s="297"/>
      <c r="D580" s="297"/>
      <c r="E580" s="297"/>
      <c r="F580" s="307"/>
      <c r="G580" s="15"/>
      <c r="H580" s="15"/>
      <c r="I580" s="15"/>
      <c r="J580" s="15"/>
      <c r="K580" s="222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</row>
    <row r="581" spans="1:34" ht="12.75" hidden="1">
      <c r="A581" s="15"/>
      <c r="B581" s="306"/>
      <c r="C581" s="313" t="s">
        <v>206</v>
      </c>
      <c r="D581" s="246">
        <v>0.05</v>
      </c>
      <c r="E581" s="311">
        <f>IF(G521=1,3,1)</f>
        <v>3</v>
      </c>
      <c r="F581" s="307"/>
      <c r="G581" s="15"/>
      <c r="H581" s="15"/>
      <c r="I581" s="15"/>
      <c r="J581" s="15"/>
      <c r="K581" s="222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</row>
    <row r="582" spans="1:34" ht="12.75" hidden="1">
      <c r="A582" s="15"/>
      <c r="B582" s="308"/>
      <c r="C582" s="300"/>
      <c r="D582" s="309"/>
      <c r="E582" s="300"/>
      <c r="F582" s="310"/>
      <c r="G582" s="15"/>
      <c r="H582" s="15"/>
      <c r="I582" s="15"/>
      <c r="J582" s="15"/>
      <c r="K582" s="222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</row>
    <row r="583" spans="1:34" ht="13.5" hidden="1" thickBot="1">
      <c r="A583" s="123"/>
      <c r="B583" s="123"/>
      <c r="C583" s="123"/>
      <c r="D583" s="123"/>
      <c r="E583" s="123"/>
      <c r="F583" s="123"/>
      <c r="G583" s="123"/>
      <c r="H583" s="123"/>
      <c r="I583" s="123"/>
      <c r="J583" s="123"/>
      <c r="K583" s="224"/>
      <c r="L583" s="123"/>
      <c r="M583" s="123"/>
      <c r="N583" s="123"/>
      <c r="O583" s="123"/>
      <c r="P583" s="123"/>
      <c r="Q583" s="123"/>
      <c r="R583" s="123"/>
      <c r="S583" s="123"/>
      <c r="T583" s="123"/>
      <c r="U583" s="123"/>
      <c r="V583" s="123"/>
      <c r="W583" s="123"/>
      <c r="X583" s="123"/>
      <c r="Y583" s="123"/>
      <c r="Z583" s="123"/>
      <c r="AA583" s="123"/>
      <c r="AB583" s="123"/>
      <c r="AC583" s="123"/>
      <c r="AD583" s="123"/>
      <c r="AE583" s="123"/>
      <c r="AF583" s="123"/>
      <c r="AG583" s="123"/>
      <c r="AH583" s="123"/>
    </row>
    <row r="584" spans="1:34" ht="13.5" hidden="1" thickTop="1">
      <c r="A584" s="15"/>
      <c r="B584" s="122"/>
      <c r="C584" s="122"/>
      <c r="D584" s="122"/>
      <c r="E584" s="122"/>
      <c r="F584" s="122"/>
      <c r="G584" s="15"/>
      <c r="H584" s="15"/>
      <c r="I584" s="15"/>
      <c r="J584" s="15"/>
      <c r="K584" s="222"/>
      <c r="L584" s="122"/>
      <c r="M584" s="122"/>
      <c r="N584" s="122"/>
      <c r="O584" s="122"/>
      <c r="P584" s="122"/>
      <c r="Q584" s="122"/>
      <c r="R584" s="122"/>
      <c r="S584" s="122"/>
      <c r="T584" s="122"/>
      <c r="U584" s="122"/>
      <c r="V584" s="122"/>
      <c r="W584" s="122"/>
      <c r="X584" s="122"/>
      <c r="Y584" s="122"/>
      <c r="Z584" s="122"/>
      <c r="AA584" s="122"/>
      <c r="AB584" s="122"/>
      <c r="AC584" s="122"/>
      <c r="AD584" s="122"/>
      <c r="AE584" s="122"/>
      <c r="AF584" s="122"/>
      <c r="AG584" s="122"/>
      <c r="AH584" s="122"/>
    </row>
    <row r="585" spans="1:34" ht="12.75" hidden="1">
      <c r="A585" s="15"/>
      <c r="B585" s="122"/>
      <c r="C585" s="122"/>
      <c r="D585" s="122"/>
      <c r="E585" s="122"/>
      <c r="F585" s="122"/>
      <c r="G585" s="15"/>
      <c r="H585" s="15"/>
      <c r="I585" s="15"/>
      <c r="J585" s="15"/>
      <c r="K585" s="222"/>
      <c r="L585" s="122"/>
      <c r="M585" s="122"/>
      <c r="N585" s="122"/>
      <c r="O585" s="122"/>
      <c r="P585" s="122"/>
      <c r="Q585" s="122"/>
      <c r="R585" s="122"/>
      <c r="S585" s="122"/>
      <c r="T585" s="122"/>
      <c r="U585" s="122"/>
      <c r="V585" s="122"/>
      <c r="W585" s="122"/>
      <c r="X585" s="122"/>
      <c r="Y585" s="122"/>
      <c r="Z585" s="122"/>
      <c r="AA585" s="122"/>
      <c r="AB585" s="122"/>
      <c r="AC585" s="122"/>
      <c r="AD585" s="122"/>
      <c r="AE585" s="122"/>
      <c r="AF585" s="122"/>
      <c r="AG585" s="122"/>
      <c r="AH585" s="122"/>
    </row>
    <row r="586" spans="1:34" ht="12.75" hidden="1">
      <c r="A586" s="15"/>
      <c r="B586" s="122"/>
      <c r="C586" s="122"/>
      <c r="D586" s="122"/>
      <c r="E586" s="122"/>
      <c r="F586" s="122"/>
      <c r="G586" s="15"/>
      <c r="H586" s="15"/>
      <c r="I586" s="15"/>
      <c r="J586" s="15"/>
      <c r="K586" s="222"/>
      <c r="L586" s="122"/>
      <c r="M586" s="122"/>
      <c r="N586" s="122"/>
      <c r="O586" s="122"/>
      <c r="P586" s="122"/>
      <c r="Q586" s="122"/>
      <c r="R586" s="122"/>
      <c r="S586" s="122"/>
      <c r="T586" s="122"/>
      <c r="U586" s="122"/>
      <c r="V586" s="122"/>
      <c r="W586" s="122"/>
      <c r="X586" s="122"/>
      <c r="Y586" s="122"/>
      <c r="Z586" s="122"/>
      <c r="AA586" s="122"/>
      <c r="AB586" s="122"/>
      <c r="AC586" s="122"/>
      <c r="AD586" s="122"/>
      <c r="AE586" s="122"/>
      <c r="AF586" s="122"/>
      <c r="AG586" s="122"/>
      <c r="AH586" s="122"/>
    </row>
    <row r="587" spans="1:34" ht="12.75" hidden="1">
      <c r="A587" s="15"/>
      <c r="B587" s="122"/>
      <c r="C587" s="122"/>
      <c r="D587" s="122"/>
      <c r="E587" s="122"/>
      <c r="F587" s="122"/>
      <c r="G587" s="15"/>
      <c r="H587" s="15"/>
      <c r="I587" s="15"/>
      <c r="J587" s="15"/>
      <c r="K587" s="222"/>
      <c r="L587" s="122"/>
      <c r="M587" s="122"/>
      <c r="N587" s="122"/>
      <c r="O587" s="122"/>
      <c r="P587" s="122"/>
      <c r="Q587" s="122"/>
      <c r="R587" s="122"/>
      <c r="S587" s="122"/>
      <c r="T587" s="122"/>
      <c r="U587" s="122"/>
      <c r="V587" s="122"/>
      <c r="W587" s="122"/>
      <c r="X587" s="122"/>
      <c r="Y587" s="122"/>
      <c r="Z587" s="122"/>
      <c r="AA587" s="122"/>
      <c r="AB587" s="122"/>
      <c r="AC587" s="122"/>
      <c r="AD587" s="122"/>
      <c r="AE587" s="122"/>
      <c r="AF587" s="122"/>
      <c r="AG587" s="122"/>
      <c r="AH587" s="122"/>
    </row>
    <row r="588" spans="1:34" ht="12.75" hidden="1">
      <c r="A588" s="15"/>
      <c r="B588" s="122"/>
      <c r="C588" s="122"/>
      <c r="D588" s="122"/>
      <c r="E588" s="122"/>
      <c r="F588" s="122"/>
      <c r="G588" s="15"/>
      <c r="H588" s="15"/>
      <c r="I588" s="15"/>
      <c r="J588" s="15"/>
      <c r="K588" s="222"/>
      <c r="L588" s="122"/>
      <c r="M588" s="122"/>
      <c r="N588" s="122"/>
      <c r="O588" s="122"/>
      <c r="P588" s="122"/>
      <c r="Q588" s="122"/>
      <c r="R588" s="122"/>
      <c r="S588" s="122"/>
      <c r="T588" s="122"/>
      <c r="U588" s="122"/>
      <c r="V588" s="122"/>
      <c r="W588" s="122"/>
      <c r="X588" s="122"/>
      <c r="Y588" s="122"/>
      <c r="Z588" s="122"/>
      <c r="AA588" s="122"/>
      <c r="AB588" s="122"/>
      <c r="AC588" s="122"/>
      <c r="AD588" s="122"/>
      <c r="AE588" s="122"/>
      <c r="AF588" s="122"/>
      <c r="AG588" s="122"/>
      <c r="AH588" s="122"/>
    </row>
    <row r="589" spans="1:34" ht="12.75" hidden="1">
      <c r="A589" s="15"/>
      <c r="B589" s="122"/>
      <c r="C589" s="122"/>
      <c r="D589" s="122"/>
      <c r="E589" s="122"/>
      <c r="F589" s="122"/>
      <c r="G589" s="15"/>
      <c r="H589" s="15"/>
      <c r="I589" s="15"/>
      <c r="J589" s="15"/>
      <c r="K589" s="222"/>
      <c r="L589" s="122"/>
      <c r="M589" s="122"/>
      <c r="N589" s="122"/>
      <c r="O589" s="122"/>
      <c r="P589" s="122"/>
      <c r="Q589" s="122"/>
      <c r="R589" s="122"/>
      <c r="S589" s="122"/>
      <c r="T589" s="122"/>
      <c r="U589" s="122"/>
      <c r="V589" s="122"/>
      <c r="W589" s="122"/>
      <c r="X589" s="122"/>
      <c r="Y589" s="122"/>
      <c r="Z589" s="122"/>
      <c r="AA589" s="122"/>
      <c r="AB589" s="122"/>
      <c r="AC589" s="122"/>
      <c r="AD589" s="122"/>
      <c r="AE589" s="122"/>
      <c r="AF589" s="122"/>
      <c r="AG589" s="122"/>
      <c r="AH589" s="122"/>
    </row>
    <row r="590" spans="1:34" ht="12.75" hidden="1">
      <c r="A590" s="15"/>
      <c r="B590" s="122"/>
      <c r="C590" s="122"/>
      <c r="D590" s="122"/>
      <c r="E590" s="122"/>
      <c r="F590" s="122"/>
      <c r="G590" s="15"/>
      <c r="H590" s="15"/>
      <c r="I590" s="15"/>
      <c r="J590" s="15"/>
      <c r="K590" s="222"/>
      <c r="L590" s="122"/>
      <c r="M590" s="122"/>
      <c r="N590" s="122"/>
      <c r="O590" s="122"/>
      <c r="P590" s="122"/>
      <c r="Q590" s="122"/>
      <c r="R590" s="122"/>
      <c r="S590" s="122"/>
      <c r="T590" s="122"/>
      <c r="U590" s="122"/>
      <c r="V590" s="122"/>
      <c r="W590" s="122"/>
      <c r="X590" s="122"/>
      <c r="Y590" s="122"/>
      <c r="Z590" s="122"/>
      <c r="AA590" s="122"/>
      <c r="AB590" s="122"/>
      <c r="AC590" s="122"/>
      <c r="AD590" s="122"/>
      <c r="AE590" s="122"/>
      <c r="AF590" s="122"/>
      <c r="AG590" s="122"/>
      <c r="AH590" s="122"/>
    </row>
    <row r="591" spans="1:34" ht="12.75" hidden="1">
      <c r="A591" s="15"/>
      <c r="B591" s="122"/>
      <c r="C591" s="122"/>
      <c r="D591" s="122"/>
      <c r="E591" s="122"/>
      <c r="F591" s="122"/>
      <c r="G591" s="15"/>
      <c r="H591" s="15"/>
      <c r="I591" s="15"/>
      <c r="J591" s="15"/>
      <c r="K591" s="222"/>
      <c r="L591" s="122"/>
      <c r="M591" s="122"/>
      <c r="N591" s="122"/>
      <c r="O591" s="122"/>
      <c r="P591" s="122"/>
      <c r="Q591" s="122"/>
      <c r="R591" s="122"/>
      <c r="S591" s="122"/>
      <c r="T591" s="122"/>
      <c r="U591" s="122"/>
      <c r="V591" s="122"/>
      <c r="W591" s="122"/>
      <c r="X591" s="122"/>
      <c r="Y591" s="122"/>
      <c r="Z591" s="122"/>
      <c r="AA591" s="122"/>
      <c r="AB591" s="122"/>
      <c r="AC591" s="122"/>
      <c r="AD591" s="122"/>
      <c r="AE591" s="122"/>
      <c r="AF591" s="122"/>
      <c r="AG591" s="122"/>
      <c r="AH591" s="122"/>
    </row>
    <row r="592" spans="1:34" ht="12.75" hidden="1">
      <c r="A592" s="15"/>
      <c r="B592" s="122"/>
      <c r="C592" s="122"/>
      <c r="D592" s="122"/>
      <c r="E592" s="122"/>
      <c r="F592" s="122"/>
      <c r="G592" s="15"/>
      <c r="H592" s="15"/>
      <c r="I592" s="15"/>
      <c r="J592" s="15"/>
      <c r="K592" s="222"/>
      <c r="L592" s="122"/>
      <c r="M592" s="122"/>
      <c r="N592" s="122"/>
      <c r="O592" s="122"/>
      <c r="P592" s="122"/>
      <c r="Q592" s="122"/>
      <c r="R592" s="122"/>
      <c r="S592" s="122"/>
      <c r="T592" s="122"/>
      <c r="U592" s="122"/>
      <c r="V592" s="122"/>
      <c r="W592" s="122"/>
      <c r="X592" s="122"/>
      <c r="Y592" s="122"/>
      <c r="Z592" s="122"/>
      <c r="AA592" s="122"/>
      <c r="AB592" s="122"/>
      <c r="AC592" s="122"/>
      <c r="AD592" s="122"/>
      <c r="AE592" s="122"/>
      <c r="AF592" s="122"/>
      <c r="AG592" s="122"/>
      <c r="AH592" s="122"/>
    </row>
    <row r="593" spans="1:34" ht="12.75" hidden="1">
      <c r="A593" s="15"/>
      <c r="B593" s="122"/>
      <c r="C593" s="122"/>
      <c r="D593" s="122"/>
      <c r="E593" s="122"/>
      <c r="F593" s="122"/>
      <c r="G593" s="15"/>
      <c r="H593" s="15"/>
      <c r="I593" s="15"/>
      <c r="J593" s="15"/>
      <c r="K593" s="222"/>
      <c r="L593" s="122"/>
      <c r="M593" s="122"/>
      <c r="N593" s="122"/>
      <c r="O593" s="122"/>
      <c r="P593" s="122"/>
      <c r="Q593" s="122"/>
      <c r="R593" s="122"/>
      <c r="S593" s="122"/>
      <c r="T593" s="122"/>
      <c r="U593" s="122"/>
      <c r="V593" s="122"/>
      <c r="W593" s="122"/>
      <c r="X593" s="122"/>
      <c r="Y593" s="122"/>
      <c r="Z593" s="122"/>
      <c r="AA593" s="122"/>
      <c r="AB593" s="122"/>
      <c r="AC593" s="122"/>
      <c r="AD593" s="122"/>
      <c r="AE593" s="122"/>
      <c r="AF593" s="122"/>
      <c r="AG593" s="122"/>
      <c r="AH593" s="122"/>
    </row>
    <row r="594" spans="1:34" ht="12.75" hidden="1">
      <c r="A594" s="15"/>
      <c r="B594" s="122"/>
      <c r="C594" s="122"/>
      <c r="D594" s="122"/>
      <c r="E594" s="122"/>
      <c r="F594" s="122"/>
      <c r="G594" s="15"/>
      <c r="H594" s="15"/>
      <c r="I594" s="15"/>
      <c r="J594" s="15"/>
      <c r="K594" s="222"/>
      <c r="L594" s="122"/>
      <c r="M594" s="122"/>
      <c r="N594" s="122"/>
      <c r="O594" s="122"/>
      <c r="P594" s="122"/>
      <c r="Q594" s="122"/>
      <c r="R594" s="122"/>
      <c r="S594" s="122"/>
      <c r="T594" s="122"/>
      <c r="U594" s="122"/>
      <c r="V594" s="122"/>
      <c r="W594" s="122"/>
      <c r="X594" s="122"/>
      <c r="Y594" s="122"/>
      <c r="Z594" s="122"/>
      <c r="AA594" s="122"/>
      <c r="AB594" s="122"/>
      <c r="AC594" s="122"/>
      <c r="AD594" s="122"/>
      <c r="AE594" s="122"/>
      <c r="AF594" s="122"/>
      <c r="AG594" s="122"/>
      <c r="AH594" s="122"/>
    </row>
    <row r="595" spans="1:34" ht="12.75" hidden="1">
      <c r="A595" s="15"/>
      <c r="B595" s="122"/>
      <c r="C595" s="122"/>
      <c r="D595" s="122"/>
      <c r="E595" s="122"/>
      <c r="F595" s="122"/>
      <c r="G595" s="15"/>
      <c r="H595" s="15"/>
      <c r="I595" s="15"/>
      <c r="J595" s="15"/>
      <c r="K595" s="222"/>
      <c r="L595" s="122"/>
      <c r="M595" s="122"/>
      <c r="N595" s="122"/>
      <c r="O595" s="122"/>
      <c r="P595" s="122"/>
      <c r="Q595" s="122"/>
      <c r="R595" s="122"/>
      <c r="S595" s="122"/>
      <c r="T595" s="122"/>
      <c r="U595" s="122"/>
      <c r="V595" s="122"/>
      <c r="W595" s="122"/>
      <c r="X595" s="122"/>
      <c r="Y595" s="122"/>
      <c r="Z595" s="122"/>
      <c r="AA595" s="122"/>
      <c r="AB595" s="122"/>
      <c r="AC595" s="122"/>
      <c r="AD595" s="122"/>
      <c r="AE595" s="122"/>
      <c r="AF595" s="122"/>
      <c r="AG595" s="122"/>
      <c r="AH595" s="122"/>
    </row>
    <row r="596" spans="1:34" ht="12.75" hidden="1">
      <c r="A596" s="15"/>
      <c r="B596" s="122"/>
      <c r="C596" s="122"/>
      <c r="D596" s="122"/>
      <c r="E596" s="122"/>
      <c r="F596" s="122"/>
      <c r="G596" s="15"/>
      <c r="H596" s="15"/>
      <c r="I596" s="15"/>
      <c r="J596" s="15"/>
      <c r="K596" s="222"/>
      <c r="L596" s="122"/>
      <c r="M596" s="122"/>
      <c r="N596" s="122"/>
      <c r="O596" s="122"/>
      <c r="P596" s="122"/>
      <c r="Q596" s="122"/>
      <c r="R596" s="122"/>
      <c r="S596" s="122"/>
      <c r="T596" s="122"/>
      <c r="U596" s="122"/>
      <c r="V596" s="122"/>
      <c r="W596" s="122"/>
      <c r="X596" s="122"/>
      <c r="Y596" s="122"/>
      <c r="Z596" s="122"/>
      <c r="AA596" s="122"/>
      <c r="AB596" s="122"/>
      <c r="AC596" s="122"/>
      <c r="AD596" s="122"/>
      <c r="AE596" s="122"/>
      <c r="AF596" s="122"/>
      <c r="AG596" s="122"/>
      <c r="AH596" s="122"/>
    </row>
    <row r="597" spans="1:34" ht="12.75" hidden="1">
      <c r="A597" s="15"/>
      <c r="B597" s="122"/>
      <c r="C597" s="122"/>
      <c r="D597" s="122"/>
      <c r="E597" s="122"/>
      <c r="F597" s="122"/>
      <c r="G597" s="15"/>
      <c r="H597" s="15"/>
      <c r="I597" s="15"/>
      <c r="J597" s="15"/>
      <c r="K597" s="222"/>
      <c r="L597" s="122"/>
      <c r="M597" s="122"/>
      <c r="N597" s="122"/>
      <c r="O597" s="122"/>
      <c r="P597" s="122"/>
      <c r="Q597" s="122"/>
      <c r="R597" s="122"/>
      <c r="S597" s="122"/>
      <c r="T597" s="122"/>
      <c r="U597" s="122"/>
      <c r="V597" s="122"/>
      <c r="W597" s="122"/>
      <c r="X597" s="122"/>
      <c r="Y597" s="122"/>
      <c r="Z597" s="122"/>
      <c r="AA597" s="122"/>
      <c r="AB597" s="122"/>
      <c r="AC597" s="122"/>
      <c r="AD597" s="122"/>
      <c r="AE597" s="122"/>
      <c r="AF597" s="122"/>
      <c r="AG597" s="122"/>
      <c r="AH597" s="122"/>
    </row>
    <row r="598" spans="1:34" ht="12.75" hidden="1">
      <c r="A598" s="15"/>
      <c r="B598" s="122"/>
      <c r="C598" s="122"/>
      <c r="D598" s="122"/>
      <c r="E598" s="122"/>
      <c r="F598" s="122"/>
      <c r="G598" s="15"/>
      <c r="H598" s="15"/>
      <c r="I598" s="15"/>
      <c r="J598" s="15"/>
      <c r="K598" s="222"/>
      <c r="L598" s="122"/>
      <c r="M598" s="122"/>
      <c r="N598" s="122"/>
      <c r="O598" s="122"/>
      <c r="P598" s="122"/>
      <c r="Q598" s="122"/>
      <c r="R598" s="122"/>
      <c r="S598" s="122"/>
      <c r="T598" s="122"/>
      <c r="U598" s="122"/>
      <c r="V598" s="122"/>
      <c r="W598" s="122"/>
      <c r="X598" s="122"/>
      <c r="Y598" s="122"/>
      <c r="Z598" s="122"/>
      <c r="AA598" s="122"/>
      <c r="AB598" s="122"/>
      <c r="AC598" s="122"/>
      <c r="AD598" s="122"/>
      <c r="AE598" s="122"/>
      <c r="AF598" s="122"/>
      <c r="AG598" s="122"/>
      <c r="AH598" s="122"/>
    </row>
    <row r="599" spans="1:34" ht="12.75" hidden="1">
      <c r="A599" s="15"/>
      <c r="B599" s="122"/>
      <c r="C599" s="122"/>
      <c r="D599" s="122"/>
      <c r="E599" s="122"/>
      <c r="F599" s="122"/>
      <c r="G599" s="15"/>
      <c r="H599" s="15"/>
      <c r="I599" s="15"/>
      <c r="J599" s="15"/>
      <c r="K599" s="222"/>
      <c r="L599" s="122"/>
      <c r="M599" s="122"/>
      <c r="N599" s="122"/>
      <c r="O599" s="122"/>
      <c r="P599" s="122"/>
      <c r="Q599" s="122"/>
      <c r="R599" s="122"/>
      <c r="S599" s="122"/>
      <c r="T599" s="122"/>
      <c r="U599" s="122"/>
      <c r="V599" s="122"/>
      <c r="W599" s="122"/>
      <c r="X599" s="122"/>
      <c r="Y599" s="122"/>
      <c r="Z599" s="122"/>
      <c r="AA599" s="122"/>
      <c r="AB599" s="122"/>
      <c r="AC599" s="122"/>
      <c r="AD599" s="122"/>
      <c r="AE599" s="122"/>
      <c r="AF599" s="122"/>
      <c r="AG599" s="122"/>
      <c r="AH599" s="122"/>
    </row>
    <row r="600" spans="1:34" ht="12.75" hidden="1">
      <c r="A600" s="15"/>
      <c r="B600" s="122"/>
      <c r="C600" s="122"/>
      <c r="D600" s="122"/>
      <c r="E600" s="122"/>
      <c r="F600" s="122"/>
      <c r="G600" s="15"/>
      <c r="H600" s="15"/>
      <c r="I600" s="15"/>
      <c r="J600" s="15"/>
      <c r="K600" s="222"/>
      <c r="L600" s="122"/>
      <c r="M600" s="122"/>
      <c r="N600" s="122"/>
      <c r="O600" s="122"/>
      <c r="P600" s="122"/>
      <c r="Q600" s="122"/>
      <c r="R600" s="122"/>
      <c r="S600" s="122"/>
      <c r="T600" s="122"/>
      <c r="U600" s="122"/>
      <c r="V600" s="122"/>
      <c r="W600" s="122"/>
      <c r="X600" s="122"/>
      <c r="Y600" s="122"/>
      <c r="Z600" s="122"/>
      <c r="AA600" s="122"/>
      <c r="AB600" s="122"/>
      <c r="AC600" s="122"/>
      <c r="AD600" s="122"/>
      <c r="AE600" s="122"/>
      <c r="AF600" s="122"/>
      <c r="AG600" s="122"/>
      <c r="AH600" s="122"/>
    </row>
    <row r="601" spans="1:34" ht="12.75" hidden="1">
      <c r="A601" s="15"/>
      <c r="B601" s="122"/>
      <c r="C601" s="122"/>
      <c r="D601" s="122"/>
      <c r="E601" s="122"/>
      <c r="F601" s="122"/>
      <c r="G601" s="15"/>
      <c r="H601" s="15"/>
      <c r="I601" s="15"/>
      <c r="J601" s="15"/>
      <c r="K601" s="222"/>
      <c r="L601" s="122"/>
      <c r="M601" s="122"/>
      <c r="N601" s="122"/>
      <c r="O601" s="122"/>
      <c r="P601" s="122"/>
      <c r="Q601" s="122"/>
      <c r="R601" s="122"/>
      <c r="S601" s="122"/>
      <c r="T601" s="122"/>
      <c r="U601" s="122"/>
      <c r="V601" s="122"/>
      <c r="W601" s="122"/>
      <c r="X601" s="122"/>
      <c r="Y601" s="122"/>
      <c r="Z601" s="122"/>
      <c r="AA601" s="122"/>
      <c r="AB601" s="122"/>
      <c r="AC601" s="122"/>
      <c r="AD601" s="122"/>
      <c r="AE601" s="122"/>
      <c r="AF601" s="122"/>
      <c r="AG601" s="122"/>
      <c r="AH601" s="122"/>
    </row>
    <row r="602" spans="1:34" ht="12.75" hidden="1">
      <c r="A602" s="15"/>
      <c r="B602" s="122"/>
      <c r="C602" s="122"/>
      <c r="D602" s="122"/>
      <c r="E602" s="122"/>
      <c r="F602" s="122"/>
      <c r="G602" s="15"/>
      <c r="H602" s="15"/>
      <c r="I602" s="15"/>
      <c r="J602" s="15"/>
      <c r="K602" s="222"/>
      <c r="L602" s="122"/>
      <c r="M602" s="122"/>
      <c r="N602" s="122"/>
      <c r="O602" s="122"/>
      <c r="P602" s="122"/>
      <c r="Q602" s="122"/>
      <c r="R602" s="122"/>
      <c r="S602" s="122"/>
      <c r="T602" s="122"/>
      <c r="U602" s="122"/>
      <c r="V602" s="122"/>
      <c r="W602" s="122"/>
      <c r="X602" s="122"/>
      <c r="Y602" s="122"/>
      <c r="Z602" s="122"/>
      <c r="AA602" s="122"/>
      <c r="AB602" s="122"/>
      <c r="AC602" s="122"/>
      <c r="AD602" s="122"/>
      <c r="AE602" s="122"/>
      <c r="AF602" s="122"/>
      <c r="AG602" s="122"/>
      <c r="AH602" s="122"/>
    </row>
    <row r="603" spans="1:34" ht="12.75" hidden="1">
      <c r="A603" s="15"/>
      <c r="B603" s="122"/>
      <c r="C603" s="122"/>
      <c r="D603" s="122"/>
      <c r="E603" s="122"/>
      <c r="F603" s="122"/>
      <c r="G603" s="15"/>
      <c r="H603" s="15"/>
      <c r="I603" s="15"/>
      <c r="J603" s="15"/>
      <c r="K603" s="222"/>
      <c r="L603" s="122"/>
      <c r="M603" s="122"/>
      <c r="N603" s="122"/>
      <c r="O603" s="122"/>
      <c r="P603" s="122"/>
      <c r="Q603" s="122"/>
      <c r="R603" s="122"/>
      <c r="S603" s="122"/>
      <c r="T603" s="122"/>
      <c r="U603" s="122"/>
      <c r="V603" s="122"/>
      <c r="W603" s="122"/>
      <c r="X603" s="122"/>
      <c r="Y603" s="122"/>
      <c r="Z603" s="122"/>
      <c r="AA603" s="122"/>
      <c r="AB603" s="122"/>
      <c r="AC603" s="122"/>
      <c r="AD603" s="122"/>
      <c r="AE603" s="122"/>
      <c r="AF603" s="122"/>
      <c r="AG603" s="122"/>
      <c r="AH603" s="122"/>
    </row>
    <row r="604" spans="1:34" ht="12.75" hidden="1">
      <c r="A604" s="15"/>
      <c r="B604" s="122"/>
      <c r="C604" s="122"/>
      <c r="D604" s="122"/>
      <c r="E604" s="122"/>
      <c r="F604" s="122"/>
      <c r="G604" s="15"/>
      <c r="H604" s="15"/>
      <c r="I604" s="15"/>
      <c r="J604" s="15"/>
      <c r="K604" s="222"/>
      <c r="L604" s="122"/>
      <c r="M604" s="122"/>
      <c r="N604" s="122"/>
      <c r="O604" s="122"/>
      <c r="P604" s="122"/>
      <c r="Q604" s="122"/>
      <c r="R604" s="122"/>
      <c r="S604" s="122"/>
      <c r="T604" s="122"/>
      <c r="U604" s="122"/>
      <c r="V604" s="122"/>
      <c r="W604" s="122"/>
      <c r="X604" s="122"/>
      <c r="Y604" s="122"/>
      <c r="Z604" s="122"/>
      <c r="AA604" s="122"/>
      <c r="AB604" s="122"/>
      <c r="AC604" s="122"/>
      <c r="AD604" s="122"/>
      <c r="AE604" s="122"/>
      <c r="AF604" s="122"/>
      <c r="AG604" s="122"/>
      <c r="AH604" s="122"/>
    </row>
    <row r="605" spans="1:34" ht="12.75" hidden="1">
      <c r="A605" s="15"/>
      <c r="B605" s="122"/>
      <c r="C605" s="122"/>
      <c r="D605" s="122"/>
      <c r="E605" s="122"/>
      <c r="F605" s="122"/>
      <c r="G605" s="15"/>
      <c r="H605" s="15"/>
      <c r="I605" s="15"/>
      <c r="J605" s="15"/>
      <c r="K605" s="222"/>
      <c r="L605" s="122"/>
      <c r="M605" s="122"/>
      <c r="N605" s="122"/>
      <c r="O605" s="122"/>
      <c r="P605" s="122"/>
      <c r="Q605" s="122"/>
      <c r="R605" s="122"/>
      <c r="S605" s="122"/>
      <c r="T605" s="122"/>
      <c r="U605" s="122"/>
      <c r="V605" s="122"/>
      <c r="W605" s="122"/>
      <c r="X605" s="122"/>
      <c r="Y605" s="122"/>
      <c r="Z605" s="122"/>
      <c r="AA605" s="122"/>
      <c r="AB605" s="122"/>
      <c r="AC605" s="122"/>
      <c r="AD605" s="122"/>
      <c r="AE605" s="122"/>
      <c r="AF605" s="122"/>
      <c r="AG605" s="122"/>
      <c r="AH605" s="122"/>
    </row>
    <row r="606" spans="1:34" ht="12.75" hidden="1">
      <c r="A606" s="390"/>
      <c r="B606" s="122"/>
      <c r="C606" s="122"/>
      <c r="D606" s="122"/>
      <c r="E606" s="122"/>
      <c r="F606" s="122"/>
      <c r="G606" s="15"/>
      <c r="H606" s="15"/>
      <c r="I606" s="15"/>
      <c r="J606" s="15"/>
      <c r="K606" s="222"/>
      <c r="L606" s="122"/>
      <c r="M606" s="122"/>
      <c r="N606" s="122"/>
      <c r="O606" s="122"/>
      <c r="P606" s="122"/>
      <c r="Q606" s="122"/>
      <c r="R606" s="122"/>
      <c r="S606" s="122"/>
      <c r="T606" s="122"/>
      <c r="U606" s="122"/>
      <c r="V606" s="122"/>
      <c r="W606" s="122"/>
      <c r="X606" s="122"/>
      <c r="Y606" s="122"/>
      <c r="Z606" s="122"/>
      <c r="AA606" s="122"/>
      <c r="AB606" s="122"/>
      <c r="AC606" s="122"/>
      <c r="AD606" s="122"/>
      <c r="AE606" s="122"/>
      <c r="AF606" s="122"/>
      <c r="AG606" s="122"/>
      <c r="AH606" s="122"/>
    </row>
    <row r="607" spans="1:33" s="6" customFormat="1" ht="12.75" hidden="1">
      <c r="A607" s="15"/>
      <c r="B607" s="16" t="s">
        <v>0</v>
      </c>
      <c r="C607" s="17"/>
      <c r="D607" s="17"/>
      <c r="E607" s="17"/>
      <c r="F607" s="17"/>
      <c r="G607" s="17"/>
      <c r="H607" s="17"/>
      <c r="I607" s="18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222"/>
      <c r="X607" s="15"/>
      <c r="Y607" s="15"/>
      <c r="Z607" s="15"/>
      <c r="AA607" s="15"/>
      <c r="AB607" s="183"/>
      <c r="AC607" s="15"/>
      <c r="AD607" s="15"/>
      <c r="AE607" s="15"/>
      <c r="AF607" s="15"/>
      <c r="AG607" s="15"/>
    </row>
    <row r="608" spans="1:33" s="6" customFormat="1" ht="20.25" hidden="1">
      <c r="A608" s="15"/>
      <c r="B608" s="9"/>
      <c r="C608" s="11"/>
      <c r="D608" s="252" t="s">
        <v>207</v>
      </c>
      <c r="E608" s="253"/>
      <c r="F608" s="253"/>
      <c r="G608" s="253"/>
      <c r="H608" s="253"/>
      <c r="I608" s="254"/>
      <c r="J608" s="19"/>
      <c r="K608" s="19"/>
      <c r="L608" s="19"/>
      <c r="M608" s="19"/>
      <c r="N608" s="19"/>
      <c r="O608" s="15"/>
      <c r="P608" s="15"/>
      <c r="Q608" s="15"/>
      <c r="R608" s="15"/>
      <c r="S608" s="15"/>
      <c r="T608" s="15"/>
      <c r="U608" s="15"/>
      <c r="V608" s="15"/>
      <c r="W608" s="222"/>
      <c r="X608" s="15"/>
      <c r="Y608" s="15"/>
      <c r="Z608" s="15"/>
      <c r="AA608" s="15"/>
      <c r="AB608" s="183"/>
      <c r="AC608" s="15"/>
      <c r="AD608" s="15"/>
      <c r="AE608" s="15"/>
      <c r="AF608" s="15"/>
      <c r="AG608" s="15"/>
    </row>
    <row r="609" spans="1:33" s="6" customFormat="1" ht="18" hidden="1">
      <c r="A609" s="15"/>
      <c r="B609" s="10"/>
      <c r="C609" s="12"/>
      <c r="D609" s="255" t="s">
        <v>208</v>
      </c>
      <c r="E609" s="256"/>
      <c r="F609" s="256"/>
      <c r="G609" s="256"/>
      <c r="H609" s="256"/>
      <c r="I609" s="257"/>
      <c r="J609" s="19"/>
      <c r="K609" s="19"/>
      <c r="L609" s="19"/>
      <c r="M609" s="19"/>
      <c r="N609" s="19"/>
      <c r="O609" s="15"/>
      <c r="P609" s="15"/>
      <c r="Q609" s="15"/>
      <c r="R609" s="15"/>
      <c r="S609" s="15"/>
      <c r="T609" s="15"/>
      <c r="U609" s="15"/>
      <c r="V609" s="15"/>
      <c r="W609" s="222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</row>
    <row r="610" spans="1:33" s="6" customFormat="1" ht="18" hidden="1">
      <c r="A610" s="15"/>
      <c r="B610" s="20"/>
      <c r="C610" s="21"/>
      <c r="D610" s="22"/>
      <c r="E610" s="23"/>
      <c r="F610" s="23"/>
      <c r="G610" s="23"/>
      <c r="H610" s="23"/>
      <c r="I610" s="22"/>
      <c r="J610" s="22"/>
      <c r="K610" s="22"/>
      <c r="L610" s="19"/>
      <c r="M610" s="19"/>
      <c r="N610" s="19"/>
      <c r="O610" s="15"/>
      <c r="P610" s="15"/>
      <c r="Q610" s="15"/>
      <c r="R610" s="15"/>
      <c r="S610" s="15"/>
      <c r="T610" s="15"/>
      <c r="U610" s="15"/>
      <c r="V610" s="15"/>
      <c r="W610" s="222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</row>
    <row r="611" spans="1:33" s="6" customFormat="1" ht="12.75" hidden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222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</row>
    <row r="612" spans="1:33" s="6" customFormat="1" ht="15" hidden="1">
      <c r="A612" s="15"/>
      <c r="B612" s="24"/>
      <c r="C612" s="265" t="s">
        <v>209</v>
      </c>
      <c r="D612" s="264"/>
      <c r="E612" s="264"/>
      <c r="F612" s="264"/>
      <c r="G612" s="264"/>
      <c r="H612" s="264"/>
      <c r="I612" s="264"/>
      <c r="J612" s="264"/>
      <c r="K612" s="19"/>
      <c r="L612" s="19"/>
      <c r="M612" s="19"/>
      <c r="N612" s="19"/>
      <c r="O612" s="15"/>
      <c r="P612" s="15"/>
      <c r="Q612" s="15"/>
      <c r="R612" s="15"/>
      <c r="S612" s="15"/>
      <c r="T612" s="15"/>
      <c r="U612" s="15"/>
      <c r="V612" s="15"/>
      <c r="W612" s="222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</row>
    <row r="613" spans="1:33" s="6" customFormat="1" ht="15" hidden="1">
      <c r="A613" s="15"/>
      <c r="B613" s="24"/>
      <c r="C613" s="265" t="s">
        <v>210</v>
      </c>
      <c r="D613" s="264"/>
      <c r="E613" s="264"/>
      <c r="F613" s="264"/>
      <c r="G613" s="264"/>
      <c r="H613" s="264"/>
      <c r="I613" s="264"/>
      <c r="J613" s="264"/>
      <c r="K613" s="19"/>
      <c r="L613" s="19"/>
      <c r="M613" s="19"/>
      <c r="N613" s="19"/>
      <c r="O613" s="15"/>
      <c r="P613" s="15"/>
      <c r="Q613" s="15"/>
      <c r="R613" s="15"/>
      <c r="S613" s="15"/>
      <c r="T613" s="15"/>
      <c r="U613" s="15"/>
      <c r="V613" s="15"/>
      <c r="W613" s="222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</row>
    <row r="614" spans="1:33" s="6" customFormat="1" ht="15" hidden="1">
      <c r="A614" s="15"/>
      <c r="B614" s="24"/>
      <c r="C614" s="265" t="s">
        <v>211</v>
      </c>
      <c r="D614" s="264"/>
      <c r="E614" s="264"/>
      <c r="F614" s="264"/>
      <c r="G614" s="264"/>
      <c r="H614" s="264"/>
      <c r="I614" s="264"/>
      <c r="J614" s="264"/>
      <c r="K614" s="19"/>
      <c r="L614" s="19"/>
      <c r="M614" s="19"/>
      <c r="N614" s="19"/>
      <c r="O614" s="15"/>
      <c r="P614" s="15"/>
      <c r="Q614" s="15"/>
      <c r="R614" s="15"/>
      <c r="S614" s="15"/>
      <c r="T614" s="15"/>
      <c r="U614" s="15"/>
      <c r="V614" s="15"/>
      <c r="W614" s="222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</row>
    <row r="615" spans="1:33" s="6" customFormat="1" ht="15" hidden="1">
      <c r="A615" s="15"/>
      <c r="B615" s="24"/>
      <c r="C615" s="25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5"/>
      <c r="P615" s="15"/>
      <c r="Q615" s="15"/>
      <c r="R615" s="15"/>
      <c r="S615" s="15"/>
      <c r="T615" s="15"/>
      <c r="U615" s="15"/>
      <c r="V615" s="15"/>
      <c r="W615" s="222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</row>
    <row r="616" spans="1:33" s="6" customFormat="1" ht="15" hidden="1">
      <c r="A616" s="15"/>
      <c r="B616" s="24"/>
      <c r="C616" s="265" t="s">
        <v>212</v>
      </c>
      <c r="D616" s="264"/>
      <c r="E616" s="264"/>
      <c r="F616" s="264"/>
      <c r="G616" s="264"/>
      <c r="H616" s="264"/>
      <c r="I616" s="264"/>
      <c r="J616" s="264"/>
      <c r="K616" s="19"/>
      <c r="L616" s="19"/>
      <c r="M616" s="19"/>
      <c r="N616" s="19"/>
      <c r="O616" s="15"/>
      <c r="P616" s="15"/>
      <c r="Q616" s="15"/>
      <c r="R616" s="15"/>
      <c r="S616" s="15"/>
      <c r="T616" s="15"/>
      <c r="U616" s="15"/>
      <c r="V616" s="15"/>
      <c r="W616" s="222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</row>
    <row r="617" spans="1:33" s="6" customFormat="1" ht="15" hidden="1">
      <c r="A617" s="15"/>
      <c r="B617" s="24"/>
      <c r="C617" s="265" t="s">
        <v>213</v>
      </c>
      <c r="D617" s="264"/>
      <c r="E617" s="264"/>
      <c r="F617" s="264"/>
      <c r="G617" s="264"/>
      <c r="H617" s="264"/>
      <c r="I617" s="264"/>
      <c r="J617" s="264"/>
      <c r="K617" s="19"/>
      <c r="L617" s="19"/>
      <c r="M617" s="19"/>
      <c r="N617" s="19"/>
      <c r="O617" s="15"/>
      <c r="P617" s="15"/>
      <c r="Q617" s="15"/>
      <c r="R617" s="15"/>
      <c r="S617" s="15"/>
      <c r="T617" s="15"/>
      <c r="U617" s="15"/>
      <c r="V617" s="15"/>
      <c r="W617" s="222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</row>
    <row r="618" spans="1:33" s="6" customFormat="1" ht="15" hidden="1">
      <c r="A618" s="15"/>
      <c r="B618" s="24"/>
      <c r="C618" s="265" t="s">
        <v>214</v>
      </c>
      <c r="D618" s="264"/>
      <c r="E618" s="264"/>
      <c r="F618" s="264"/>
      <c r="G618" s="264"/>
      <c r="H618" s="264"/>
      <c r="I618" s="264"/>
      <c r="J618" s="264"/>
      <c r="K618" s="19"/>
      <c r="L618" s="19"/>
      <c r="M618" s="19"/>
      <c r="N618" s="19"/>
      <c r="O618" s="15"/>
      <c r="P618" s="15"/>
      <c r="Q618" s="15"/>
      <c r="R618" s="15"/>
      <c r="S618" s="15"/>
      <c r="T618" s="15"/>
      <c r="U618" s="15"/>
      <c r="V618" s="15"/>
      <c r="W618" s="222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</row>
    <row r="619" spans="1:33" s="6" customFormat="1" ht="12.75" hidden="1">
      <c r="A619" s="15"/>
      <c r="B619" s="15"/>
      <c r="C619" s="15"/>
      <c r="D619" s="15"/>
      <c r="E619" s="15"/>
      <c r="F619" s="17"/>
      <c r="G619" s="18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222"/>
      <c r="X619" s="15"/>
      <c r="Y619" s="15"/>
      <c r="Z619" s="15"/>
      <c r="AA619" s="15"/>
      <c r="AB619" s="114"/>
      <c r="AC619" s="15"/>
      <c r="AD619" s="15" t="s">
        <v>215</v>
      </c>
      <c r="AE619" s="15"/>
      <c r="AF619" s="15"/>
      <c r="AG619" s="15"/>
    </row>
    <row r="620" spans="1:33" s="8" customFormat="1" ht="19.5" hidden="1">
      <c r="A620" s="27"/>
      <c r="B620" s="27"/>
      <c r="C620" s="28"/>
      <c r="D620" s="114"/>
      <c r="E620" s="228" t="str">
        <f>IF(AD620=1,"Automático, pelo MRP","Programa Manual")</f>
        <v>Automático, pelo MRP</v>
      </c>
      <c r="F620" s="231"/>
      <c r="G620" s="229"/>
      <c r="H620" s="230"/>
      <c r="I620" s="15"/>
      <c r="J620" s="15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33"/>
      <c r="X620" s="27"/>
      <c r="Y620" s="27"/>
      <c r="Z620" s="27"/>
      <c r="AA620" s="27"/>
      <c r="AB620" s="27"/>
      <c r="AC620" s="214"/>
      <c r="AD620" s="245">
        <v>1</v>
      </c>
      <c r="AE620" s="27"/>
      <c r="AF620" s="27"/>
      <c r="AG620" s="27"/>
    </row>
    <row r="621" spans="1:33" s="6" customFormat="1" ht="15" hidden="1">
      <c r="A621" s="15"/>
      <c r="B621" s="15"/>
      <c r="C621" s="15"/>
      <c r="D621" s="15"/>
      <c r="E621" s="15"/>
      <c r="F621" s="17"/>
      <c r="G621" s="18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222"/>
      <c r="X621" s="15"/>
      <c r="Y621" s="15"/>
      <c r="Z621" s="15"/>
      <c r="AA621" s="15"/>
      <c r="AB621" s="27"/>
      <c r="AC621" s="15"/>
      <c r="AD621" s="15"/>
      <c r="AE621" s="15"/>
      <c r="AF621" s="15"/>
      <c r="AG621" s="15"/>
    </row>
    <row r="622" spans="1:33" s="6" customFormat="1" ht="13.5" hidden="1" thickBo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222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</row>
    <row r="623" spans="1:34" s="7" customFormat="1" ht="13.5" hidden="1" thickTop="1">
      <c r="A623" s="16"/>
      <c r="B623" s="29" t="s">
        <v>216</v>
      </c>
      <c r="C623" s="217" t="s">
        <v>67</v>
      </c>
      <c r="D623" s="30" t="s">
        <v>217</v>
      </c>
      <c r="E623" s="30" t="s">
        <v>218</v>
      </c>
      <c r="F623" s="30" t="s">
        <v>219</v>
      </c>
      <c r="G623" s="30" t="s">
        <v>220</v>
      </c>
      <c r="H623" s="30" t="s">
        <v>221</v>
      </c>
      <c r="I623" s="30" t="s">
        <v>222</v>
      </c>
      <c r="J623" s="30" t="s">
        <v>223</v>
      </c>
      <c r="K623" s="30" t="s">
        <v>224</v>
      </c>
      <c r="L623" s="30" t="s">
        <v>225</v>
      </c>
      <c r="M623" s="30" t="s">
        <v>226</v>
      </c>
      <c r="N623" s="30" t="s">
        <v>227</v>
      </c>
      <c r="O623" s="31" t="s">
        <v>228</v>
      </c>
      <c r="P623" s="16"/>
      <c r="Q623" s="16"/>
      <c r="R623" s="16"/>
      <c r="S623" s="16"/>
      <c r="T623" s="16"/>
      <c r="U623" s="16"/>
      <c r="V623" s="16"/>
      <c r="W623" s="225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</row>
    <row r="624" spans="1:34" s="6" customFormat="1" ht="12.75" hidden="1">
      <c r="A624" s="15"/>
      <c r="B624" s="32" t="s">
        <v>229</v>
      </c>
      <c r="C624" s="215">
        <f>MAXA('Poliof40 - LIVROB'!$I$133,400)</f>
        <v>400</v>
      </c>
      <c r="D624" s="202">
        <f>'Poliof40 - LIVROB'!$B$139+'Poliof40 - LIVROB'!$C$139</f>
        <v>0</v>
      </c>
      <c r="E624" s="202">
        <f>'Poliof40 - LIVROB'!$D$139</f>
        <v>404</v>
      </c>
      <c r="F624" s="202">
        <f>'Poliof40 - LIVROB'!$E$139</f>
        <v>0</v>
      </c>
      <c r="G624" s="202">
        <f>'Poliof40 - LIVROB'!$F$139</f>
        <v>0</v>
      </c>
      <c r="H624" s="202">
        <f>'Poliof40 - LIVROB'!$G$139</f>
        <v>0</v>
      </c>
      <c r="I624" s="202">
        <f>'Poliof40 - LIVROB'!$H$139</f>
        <v>0</v>
      </c>
      <c r="J624" s="202">
        <f>'Poliof40 - LIVROB'!$I$139</f>
        <v>0</v>
      </c>
      <c r="K624" s="202">
        <f>'Poliof40 - LIVROB'!$J$139</f>
        <v>0</v>
      </c>
      <c r="L624" s="202">
        <f>'Poliof40 - LIVROB'!$K$139</f>
        <v>0</v>
      </c>
      <c r="M624" s="202">
        <f>'Poliof40 - LIVROB'!$L$139</f>
        <v>0</v>
      </c>
      <c r="N624" s="202">
        <f>'Poliof40 - LIVROB'!$M$139</f>
        <v>0</v>
      </c>
      <c r="O624" s="203">
        <f>'Poliof40 - LIVROB'!$N$139</f>
        <v>0</v>
      </c>
      <c r="P624" s="15"/>
      <c r="Q624" s="15"/>
      <c r="R624" s="15"/>
      <c r="S624" s="15"/>
      <c r="T624" s="15"/>
      <c r="U624" s="15"/>
      <c r="V624" s="15"/>
      <c r="W624" s="222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</row>
    <row r="625" spans="1:34" s="6" customFormat="1" ht="13.5" hidden="1" thickBot="1">
      <c r="A625" s="15"/>
      <c r="B625" s="35" t="s">
        <v>230</v>
      </c>
      <c r="C625" s="216"/>
      <c r="D625" s="204"/>
      <c r="E625" s="204"/>
      <c r="F625" s="204"/>
      <c r="G625" s="204"/>
      <c r="H625" s="205"/>
      <c r="I625" s="205"/>
      <c r="J625" s="205"/>
      <c r="K625" s="205"/>
      <c r="L625" s="205"/>
      <c r="M625" s="205"/>
      <c r="N625" s="205"/>
      <c r="O625" s="206"/>
      <c r="P625" s="15"/>
      <c r="Q625" s="15"/>
      <c r="R625" s="15"/>
      <c r="S625" s="15"/>
      <c r="T625" s="15"/>
      <c r="U625" s="15"/>
      <c r="V625" s="15"/>
      <c r="W625" s="222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</row>
    <row r="626" spans="1:34" s="6" customFormat="1" ht="14.25" hidden="1" thickBot="1" thickTop="1">
      <c r="A626" s="15"/>
      <c r="B626" s="15"/>
      <c r="C626" s="15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5"/>
      <c r="Q626" s="15"/>
      <c r="R626" s="15"/>
      <c r="S626" s="15"/>
      <c r="T626" s="15"/>
      <c r="U626" s="15"/>
      <c r="V626" s="15"/>
      <c r="W626" s="222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</row>
    <row r="627" spans="1:34" s="7" customFormat="1" ht="13.5" hidden="1" thickTop="1">
      <c r="A627" s="16"/>
      <c r="B627" s="33" t="s">
        <v>231</v>
      </c>
      <c r="C627" s="217" t="s">
        <v>67</v>
      </c>
      <c r="D627" s="30" t="s">
        <v>217</v>
      </c>
      <c r="E627" s="30" t="s">
        <v>218</v>
      </c>
      <c r="F627" s="30" t="s">
        <v>219</v>
      </c>
      <c r="G627" s="30" t="s">
        <v>220</v>
      </c>
      <c r="H627" s="30" t="s">
        <v>221</v>
      </c>
      <c r="I627" s="30" t="s">
        <v>222</v>
      </c>
      <c r="J627" s="30" t="s">
        <v>232</v>
      </c>
      <c r="K627" s="30" t="s">
        <v>224</v>
      </c>
      <c r="L627" s="30" t="s">
        <v>225</v>
      </c>
      <c r="M627" s="30" t="s">
        <v>226</v>
      </c>
      <c r="N627" s="30" t="s">
        <v>227</v>
      </c>
      <c r="O627" s="31" t="s">
        <v>228</v>
      </c>
      <c r="P627" s="16"/>
      <c r="Q627" s="16"/>
      <c r="R627" s="16"/>
      <c r="S627" s="16"/>
      <c r="T627" s="16"/>
      <c r="U627" s="16"/>
      <c r="V627" s="16"/>
      <c r="W627" s="225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</row>
    <row r="628" spans="1:34" s="6" customFormat="1" ht="12.75" hidden="1">
      <c r="A628" s="15"/>
      <c r="B628" s="32" t="s">
        <v>233</v>
      </c>
      <c r="C628" s="215">
        <f>'Poliof40 - LIVROB'!$I$149</f>
        <v>1</v>
      </c>
      <c r="D628" s="202">
        <f>'Poliof40 - LIVROB'!$B$155+'Poliof40 - LIVROB'!$C$155</f>
        <v>28</v>
      </c>
      <c r="E628" s="202">
        <f>'Poliof40 - LIVROB'!$D$155</f>
        <v>21</v>
      </c>
      <c r="F628" s="202">
        <f>'Poliof40 - LIVROB'!$E$155</f>
        <v>21</v>
      </c>
      <c r="G628" s="202">
        <f>'Poliof40 - LIVROB'!$F$155</f>
        <v>28</v>
      </c>
      <c r="H628" s="202">
        <f>'Poliof40 - LIVROB'!$G$155</f>
        <v>28</v>
      </c>
      <c r="I628" s="202">
        <f>'Poliof40 - LIVROB'!$H$155</f>
        <v>23</v>
      </c>
      <c r="J628" s="202">
        <f>'Poliof40 - LIVROB'!$I$155</f>
        <v>32</v>
      </c>
      <c r="K628" s="202">
        <f>'Poliof40 - LIVROB'!$J$155</f>
        <v>32</v>
      </c>
      <c r="L628" s="202">
        <f>'Poliof40 - LIVROB'!$K$155</f>
        <v>32</v>
      </c>
      <c r="M628" s="202">
        <f>'Poliof40 - LIVROB'!$L$155</f>
        <v>32</v>
      </c>
      <c r="N628" s="202">
        <f>'Poliof40 - LIVROB'!$M$155</f>
        <v>27</v>
      </c>
      <c r="O628" s="203">
        <f>'Poliof40 - LIVROB'!$N$155</f>
        <v>0</v>
      </c>
      <c r="P628" s="15"/>
      <c r="Q628" s="15"/>
      <c r="R628" s="15"/>
      <c r="S628" s="15"/>
      <c r="T628" s="15"/>
      <c r="U628" s="15"/>
      <c r="V628" s="15"/>
      <c r="W628" s="222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</row>
    <row r="629" spans="1:34" s="6" customFormat="1" ht="12.75" hidden="1">
      <c r="A629" s="15"/>
      <c r="B629" s="32" t="s">
        <v>230</v>
      </c>
      <c r="C629" s="218"/>
      <c r="D629" s="119"/>
      <c r="E629" s="119"/>
      <c r="F629" s="119"/>
      <c r="G629" s="119"/>
      <c r="H629" s="187"/>
      <c r="I629" s="187"/>
      <c r="J629" s="187"/>
      <c r="K629" s="187"/>
      <c r="L629" s="187"/>
      <c r="M629" s="187"/>
      <c r="N629" s="187"/>
      <c r="O629" s="207"/>
      <c r="P629" s="15"/>
      <c r="Q629" s="15"/>
      <c r="R629" s="15"/>
      <c r="S629" s="15"/>
      <c r="T629" s="15"/>
      <c r="U629" s="15"/>
      <c r="V629" s="15"/>
      <c r="W629" s="222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</row>
    <row r="630" spans="1:34" s="6" customFormat="1" ht="12.75" hidden="1">
      <c r="A630" s="15"/>
      <c r="B630" s="32" t="s">
        <v>234</v>
      </c>
      <c r="C630" s="215">
        <f>'Poliof40 - LIVROB'!$I$157</f>
        <v>1</v>
      </c>
      <c r="D630" s="202">
        <f>'Poliof40 - LIVROB'!$B$163+'Poliof40 - LIVROB'!$C$163</f>
        <v>38</v>
      </c>
      <c r="E630" s="202">
        <f>'Poliof40 - LIVROB'!$D$163</f>
        <v>37</v>
      </c>
      <c r="F630" s="202">
        <f>'Poliof40 - LIVROB'!$E$163</f>
        <v>31</v>
      </c>
      <c r="G630" s="202">
        <f>'Poliof40 - LIVROB'!$F$163</f>
        <v>60</v>
      </c>
      <c r="H630" s="202">
        <f>'Poliof40 - LIVROB'!$G$163</f>
        <v>51</v>
      </c>
      <c r="I630" s="202">
        <f>'Poliof40 - LIVROB'!$H$163</f>
        <v>53</v>
      </c>
      <c r="J630" s="202">
        <f>'Poliof40 - LIVROB'!$I$163</f>
        <v>45</v>
      </c>
      <c r="K630" s="202">
        <f>'Poliof40 - LIVROB'!$J$163</f>
        <v>70</v>
      </c>
      <c r="L630" s="202">
        <f>'Poliof40 - LIVROB'!$K$163</f>
        <v>59</v>
      </c>
      <c r="M630" s="202">
        <f>'Poliof40 - LIVROB'!$L$163</f>
        <v>54</v>
      </c>
      <c r="N630" s="202">
        <f>'Poliof40 - LIVROB'!$M$163</f>
        <v>46</v>
      </c>
      <c r="O630" s="203">
        <f>'Poliof40 - LIVROB'!$N$163</f>
        <v>0</v>
      </c>
      <c r="P630" s="15"/>
      <c r="Q630" s="15"/>
      <c r="R630" s="15"/>
      <c r="S630" s="15"/>
      <c r="T630" s="15"/>
      <c r="U630" s="15"/>
      <c r="V630" s="15"/>
      <c r="W630" s="222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</row>
    <row r="631" spans="1:34" s="6" customFormat="1" ht="13.5" hidden="1" thickBot="1">
      <c r="A631" s="15"/>
      <c r="B631" s="35" t="s">
        <v>230</v>
      </c>
      <c r="C631" s="219"/>
      <c r="D631" s="204"/>
      <c r="E631" s="204"/>
      <c r="F631" s="204"/>
      <c r="G631" s="204"/>
      <c r="H631" s="205"/>
      <c r="I631" s="205"/>
      <c r="J631" s="205"/>
      <c r="K631" s="205"/>
      <c r="L631" s="205"/>
      <c r="M631" s="205"/>
      <c r="N631" s="205"/>
      <c r="O631" s="206"/>
      <c r="P631" s="15"/>
      <c r="Q631" s="15"/>
      <c r="R631" s="15"/>
      <c r="S631" s="15"/>
      <c r="T631" s="15"/>
      <c r="U631" s="15"/>
      <c r="V631" s="15"/>
      <c r="W631" s="222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</row>
    <row r="632" spans="1:34" s="6" customFormat="1" ht="14.25" hidden="1" thickBot="1" thickTop="1">
      <c r="A632" s="15"/>
      <c r="B632" s="15"/>
      <c r="C632" s="15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5"/>
      <c r="Q632" s="15"/>
      <c r="R632" s="15"/>
      <c r="S632" s="15"/>
      <c r="T632" s="15"/>
      <c r="U632" s="15"/>
      <c r="V632" s="15"/>
      <c r="W632" s="222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</row>
    <row r="633" spans="1:34" s="6" customFormat="1" ht="13.5" hidden="1" thickTop="1">
      <c r="A633" s="15"/>
      <c r="B633" s="165" t="s">
        <v>235</v>
      </c>
      <c r="C633" s="217" t="s">
        <v>67</v>
      </c>
      <c r="D633" s="169" t="s">
        <v>217</v>
      </c>
      <c r="E633" s="169" t="s">
        <v>218</v>
      </c>
      <c r="F633" s="169" t="s">
        <v>219</v>
      </c>
      <c r="G633" s="169" t="s">
        <v>220</v>
      </c>
      <c r="H633" s="169" t="s">
        <v>221</v>
      </c>
      <c r="I633" s="169" t="s">
        <v>222</v>
      </c>
      <c r="J633" s="169" t="s">
        <v>232</v>
      </c>
      <c r="K633" s="169" t="s">
        <v>224</v>
      </c>
      <c r="L633" s="169" t="s">
        <v>225</v>
      </c>
      <c r="M633" s="169" t="s">
        <v>226</v>
      </c>
      <c r="N633" s="169" t="s">
        <v>227</v>
      </c>
      <c r="O633" s="170" t="s">
        <v>228</v>
      </c>
      <c r="P633" s="15"/>
      <c r="Q633" s="15"/>
      <c r="R633" s="15"/>
      <c r="S633" s="15"/>
      <c r="T633" s="15"/>
      <c r="U633" s="15"/>
      <c r="V633" s="15"/>
      <c r="W633" s="222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</row>
    <row r="634" spans="1:34" s="6" customFormat="1" ht="12.75" hidden="1">
      <c r="A634" s="15"/>
      <c r="B634" s="167" t="s">
        <v>236</v>
      </c>
      <c r="C634" s="215">
        <f>'Poliof40 - LIVROB'!$I$141</f>
        <v>36</v>
      </c>
      <c r="D634" s="202">
        <f>'Poliof40 - LIVROB'!$B$147+'Poliof40 - LIVROB'!$C$147</f>
        <v>0</v>
      </c>
      <c r="E634" s="202">
        <f>'Poliof40 - LIVROB'!$D$147</f>
        <v>38</v>
      </c>
      <c r="F634" s="202">
        <f>'Poliof40 - LIVROB'!$E$147</f>
        <v>38</v>
      </c>
      <c r="G634" s="202">
        <f>'Poliof40 - LIVROB'!$F$147</f>
        <v>0</v>
      </c>
      <c r="H634" s="202">
        <f>'Poliof40 - LIVROB'!$G$147</f>
        <v>38</v>
      </c>
      <c r="I634" s="202">
        <f>'Poliof40 - LIVROB'!$H$147</f>
        <v>0</v>
      </c>
      <c r="J634" s="202">
        <f>'Poliof40 - LIVROB'!$I$147</f>
        <v>38</v>
      </c>
      <c r="K634" s="202">
        <f>'Poliof40 - LIVROB'!$J$147</f>
        <v>38</v>
      </c>
      <c r="L634" s="202">
        <f>'Poliof40 - LIVROB'!$K$147</f>
        <v>0</v>
      </c>
      <c r="M634" s="202">
        <f>'Poliof40 - LIVROB'!$L$147</f>
        <v>38</v>
      </c>
      <c r="N634" s="202">
        <f>'Poliof40 - LIVROB'!$M$147</f>
        <v>0</v>
      </c>
      <c r="O634" s="203">
        <f>'Poliof40 - LIVROB'!$N$147</f>
        <v>0</v>
      </c>
      <c r="P634" s="15"/>
      <c r="Q634" s="15"/>
      <c r="R634" s="15"/>
      <c r="S634" s="15"/>
      <c r="T634" s="15"/>
      <c r="U634" s="15"/>
      <c r="V634" s="15"/>
      <c r="W634" s="222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</row>
    <row r="635" spans="1:34" s="6" customFormat="1" ht="13.5" hidden="1" thickBot="1">
      <c r="A635" s="15"/>
      <c r="B635" s="168" t="s">
        <v>230</v>
      </c>
      <c r="C635" s="221"/>
      <c r="D635" s="204"/>
      <c r="E635" s="204"/>
      <c r="F635" s="204"/>
      <c r="G635" s="204"/>
      <c r="H635" s="205"/>
      <c r="I635" s="205"/>
      <c r="J635" s="205"/>
      <c r="K635" s="205"/>
      <c r="L635" s="205"/>
      <c r="M635" s="205"/>
      <c r="N635" s="205"/>
      <c r="O635" s="206"/>
      <c r="P635" s="15"/>
      <c r="Q635" s="15"/>
      <c r="R635" s="15"/>
      <c r="S635" s="15"/>
      <c r="T635" s="15"/>
      <c r="U635" s="15"/>
      <c r="V635" s="15"/>
      <c r="W635" s="222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</row>
    <row r="636" spans="1:34" s="6" customFormat="1" ht="14.25" hidden="1" thickBot="1" thickTop="1">
      <c r="A636" s="15"/>
      <c r="B636" s="15"/>
      <c r="C636" s="15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5"/>
      <c r="Q636" s="15"/>
      <c r="R636" s="15"/>
      <c r="S636" s="15"/>
      <c r="T636" s="15"/>
      <c r="U636" s="15"/>
      <c r="V636" s="15"/>
      <c r="W636" s="222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</row>
    <row r="637" spans="1:34" s="6" customFormat="1" ht="13.5" hidden="1" thickTop="1">
      <c r="A637" s="15"/>
      <c r="B637" s="165" t="s">
        <v>237</v>
      </c>
      <c r="C637" s="217" t="s">
        <v>67</v>
      </c>
      <c r="D637" s="169" t="s">
        <v>217</v>
      </c>
      <c r="E637" s="169" t="s">
        <v>218</v>
      </c>
      <c r="F637" s="169" t="s">
        <v>219</v>
      </c>
      <c r="G637" s="169" t="s">
        <v>220</v>
      </c>
      <c r="H637" s="169" t="s">
        <v>221</v>
      </c>
      <c r="I637" s="169" t="s">
        <v>222</v>
      </c>
      <c r="J637" s="169" t="s">
        <v>232</v>
      </c>
      <c r="K637" s="169" t="s">
        <v>224</v>
      </c>
      <c r="L637" s="169" t="s">
        <v>225</v>
      </c>
      <c r="M637" s="169" t="s">
        <v>226</v>
      </c>
      <c r="N637" s="169" t="s">
        <v>227</v>
      </c>
      <c r="O637" s="170" t="s">
        <v>228</v>
      </c>
      <c r="P637" s="15"/>
      <c r="Q637" s="15"/>
      <c r="R637" s="15"/>
      <c r="S637" s="15"/>
      <c r="T637" s="15"/>
      <c r="U637" s="15"/>
      <c r="V637" s="15"/>
      <c r="W637" s="222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</row>
    <row r="638" spans="1:34" s="6" customFormat="1" ht="12.75" hidden="1">
      <c r="A638" s="15"/>
      <c r="B638" s="167" t="s">
        <v>238</v>
      </c>
      <c r="C638" s="215">
        <f>'Poliof40 - LIVROB'!$I$216</f>
        <v>1</v>
      </c>
      <c r="D638" s="202">
        <f>'Poliof40 - LIVROB'!$B$222+'Poliof40 - LIVROB'!$C$222</f>
        <v>20</v>
      </c>
      <c r="E638" s="202">
        <f>'Poliof40 - LIVROB'!$D$222</f>
        <v>22</v>
      </c>
      <c r="F638" s="202">
        <f>'Poliof40 - LIVROB'!$E$222</f>
        <v>29</v>
      </c>
      <c r="G638" s="202">
        <f>'Poliof40 - LIVROB'!$F$222</f>
        <v>29</v>
      </c>
      <c r="H638" s="202">
        <f>'Poliof40 - LIVROB'!$G$222</f>
        <v>24</v>
      </c>
      <c r="I638" s="202">
        <f>'Poliof40 - LIVROB'!$H$222</f>
        <v>34</v>
      </c>
      <c r="J638" s="202">
        <f>'Poliof40 - LIVROB'!$I$222</f>
        <v>34</v>
      </c>
      <c r="K638" s="202">
        <f>'Poliof40 - LIVROB'!$J$222</f>
        <v>34</v>
      </c>
      <c r="L638" s="202">
        <f>'Poliof40 - LIVROB'!$K$222</f>
        <v>34</v>
      </c>
      <c r="M638" s="202">
        <f>'Poliof40 - LIVROB'!$L$222</f>
        <v>28</v>
      </c>
      <c r="N638" s="202">
        <f>'Poliof40 - LIVROB'!$M$222</f>
        <v>0</v>
      </c>
      <c r="O638" s="203">
        <f>'Poliof40 - LIVROB'!$N$222</f>
        <v>0</v>
      </c>
      <c r="P638" s="15"/>
      <c r="Q638" s="15"/>
      <c r="R638" s="15"/>
      <c r="S638" s="15"/>
      <c r="T638" s="15"/>
      <c r="U638" s="15"/>
      <c r="V638" s="15"/>
      <c r="W638" s="222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</row>
    <row r="639" spans="1:34" s="6" customFormat="1" ht="12.75" hidden="1">
      <c r="A639" s="15"/>
      <c r="B639" s="167" t="s">
        <v>230</v>
      </c>
      <c r="C639" s="220"/>
      <c r="D639" s="119"/>
      <c r="E639" s="119"/>
      <c r="F639" s="119"/>
      <c r="G639" s="119"/>
      <c r="H639" s="187"/>
      <c r="I639" s="187"/>
      <c r="J639" s="187"/>
      <c r="K639" s="187"/>
      <c r="L639" s="187"/>
      <c r="M639" s="187"/>
      <c r="N639" s="187"/>
      <c r="O639" s="207"/>
      <c r="P639" s="15"/>
      <c r="Q639" s="15"/>
      <c r="R639" s="15"/>
      <c r="S639" s="15"/>
      <c r="T639" s="15"/>
      <c r="U639" s="15"/>
      <c r="V639" s="15"/>
      <c r="W639" s="222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</row>
    <row r="640" spans="1:34" s="6" customFormat="1" ht="12.75" hidden="1">
      <c r="A640" s="15"/>
      <c r="B640" s="167" t="s">
        <v>239</v>
      </c>
      <c r="C640" s="215">
        <f>'Poliof40 - LIVROB'!$I$224</f>
        <v>1</v>
      </c>
      <c r="D640" s="202">
        <f>'Poliof40 - LIVROB'!$B$230+'Poliof40 - LIVROB'!$C$230</f>
        <v>22</v>
      </c>
      <c r="E640" s="202">
        <f>'Poliof40 - LIVROB'!$D$230</f>
        <v>33</v>
      </c>
      <c r="F640" s="202">
        <f>'Poliof40 - LIVROB'!$E$230</f>
        <v>63</v>
      </c>
      <c r="G640" s="202">
        <f>'Poliof40 - LIVROB'!$F$230</f>
        <v>54</v>
      </c>
      <c r="H640" s="202">
        <f>'Poliof40 - LIVROB'!$G$230</f>
        <v>56</v>
      </c>
      <c r="I640" s="202">
        <f>'Poliof40 - LIVROB'!$H$230</f>
        <v>47</v>
      </c>
      <c r="J640" s="202">
        <f>'Poliof40 - LIVROB'!$I$230</f>
        <v>74</v>
      </c>
      <c r="K640" s="202">
        <f>'Poliof40 - LIVROB'!$J$230</f>
        <v>62</v>
      </c>
      <c r="L640" s="202">
        <f>'Poliof40 - LIVROB'!$K$230</f>
        <v>57</v>
      </c>
      <c r="M640" s="202">
        <f>'Poliof40 - LIVROB'!$L$230</f>
        <v>48</v>
      </c>
      <c r="N640" s="202">
        <f>'Poliof40 - LIVROB'!$M$230</f>
        <v>0</v>
      </c>
      <c r="O640" s="203">
        <f>'Poliof40 - LIVROB'!$N$230</f>
        <v>0</v>
      </c>
      <c r="P640" s="15"/>
      <c r="Q640" s="15"/>
      <c r="R640" s="15"/>
      <c r="S640" s="15"/>
      <c r="T640" s="15"/>
      <c r="U640" s="15"/>
      <c r="V640" s="15"/>
      <c r="W640" s="222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</row>
    <row r="641" spans="1:34" s="6" customFormat="1" ht="12.75" hidden="1">
      <c r="A641" s="15"/>
      <c r="B641" s="167" t="s">
        <v>230</v>
      </c>
      <c r="C641" s="220"/>
      <c r="D641" s="119"/>
      <c r="E641" s="119"/>
      <c r="F641" s="119"/>
      <c r="G641" s="119"/>
      <c r="H641" s="187"/>
      <c r="I641" s="187"/>
      <c r="J641" s="187"/>
      <c r="K641" s="187"/>
      <c r="L641" s="187"/>
      <c r="M641" s="187"/>
      <c r="N641" s="187"/>
      <c r="O641" s="207"/>
      <c r="P641" s="15"/>
      <c r="Q641" s="15"/>
      <c r="R641" s="15"/>
      <c r="S641" s="15"/>
      <c r="T641" s="15"/>
      <c r="U641" s="15"/>
      <c r="V641" s="15"/>
      <c r="W641" s="222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</row>
    <row r="642" spans="1:34" s="6" customFormat="1" ht="12.75" hidden="1">
      <c r="A642" s="15"/>
      <c r="B642" s="167" t="s">
        <v>240</v>
      </c>
      <c r="C642" s="215">
        <f>'Poliof40 - LIVROB'!$I$232</f>
        <v>1</v>
      </c>
      <c r="D642" s="202">
        <f>'Poliof40 - LIVROB'!$B$238+'Poliof40 - LIVROB'!$C$238</f>
        <v>23</v>
      </c>
      <c r="E642" s="202">
        <f>'Poliof40 - LIVROB'!$D$238</f>
        <v>23</v>
      </c>
      <c r="F642" s="202">
        <f>'Poliof40 - LIVROB'!$E$238</f>
        <v>31</v>
      </c>
      <c r="G642" s="202">
        <f>'Poliof40 - LIVROB'!$F$238</f>
        <v>31</v>
      </c>
      <c r="H642" s="202">
        <f>'Poliof40 - LIVROB'!$G$238</f>
        <v>25</v>
      </c>
      <c r="I642" s="202">
        <f>'Poliof40 - LIVROB'!$H$238</f>
        <v>36</v>
      </c>
      <c r="J642" s="202">
        <f>'Poliof40 - LIVROB'!$I$238</f>
        <v>36</v>
      </c>
      <c r="K642" s="202">
        <f>'Poliof40 - LIVROB'!$J$238</f>
        <v>36</v>
      </c>
      <c r="L642" s="202">
        <f>'Poliof40 - LIVROB'!$K$238</f>
        <v>36</v>
      </c>
      <c r="M642" s="202">
        <f>'Poliof40 - LIVROB'!$L$238</f>
        <v>30</v>
      </c>
      <c r="N642" s="202">
        <f>'Poliof40 - LIVROB'!$M$238</f>
        <v>0</v>
      </c>
      <c r="O642" s="203">
        <f>'Poliof40 - LIVROB'!$N$238</f>
        <v>0</v>
      </c>
      <c r="P642" s="15"/>
      <c r="Q642" s="15"/>
      <c r="R642" s="15"/>
      <c r="S642" s="15"/>
      <c r="T642" s="15"/>
      <c r="U642" s="15"/>
      <c r="V642" s="15"/>
      <c r="W642" s="222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</row>
    <row r="643" spans="1:34" s="6" customFormat="1" ht="12.75" hidden="1">
      <c r="A643" s="15"/>
      <c r="B643" s="167" t="s">
        <v>230</v>
      </c>
      <c r="C643" s="220"/>
      <c r="D643" s="119"/>
      <c r="E643" s="119"/>
      <c r="F643" s="119"/>
      <c r="G643" s="119"/>
      <c r="H643" s="187"/>
      <c r="I643" s="187"/>
      <c r="J643" s="187"/>
      <c r="K643" s="187"/>
      <c r="L643" s="187"/>
      <c r="M643" s="187"/>
      <c r="N643" s="187"/>
      <c r="O643" s="207"/>
      <c r="P643" s="15"/>
      <c r="Q643" s="15"/>
      <c r="R643" s="15"/>
      <c r="S643" s="15"/>
      <c r="T643" s="15"/>
      <c r="U643" s="15"/>
      <c r="V643" s="15"/>
      <c r="W643" s="222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</row>
    <row r="644" spans="1:34" s="6" customFormat="1" ht="12.75" hidden="1">
      <c r="A644" s="15"/>
      <c r="B644" s="167" t="s">
        <v>241</v>
      </c>
      <c r="C644" s="215">
        <f>'Poliof40 - LIVROB'!$I$240</f>
        <v>1</v>
      </c>
      <c r="D644" s="202">
        <f>'Poliof40 - LIVROB'!$B$246+'Poliof40 - LIVROB'!$C$246</f>
        <v>37</v>
      </c>
      <c r="E644" s="202">
        <f>'Poliof40 - LIVROB'!$D$246</f>
        <v>46</v>
      </c>
      <c r="F644" s="202">
        <f>'Poliof40 - LIVROB'!$E$246</f>
        <v>77</v>
      </c>
      <c r="G644" s="202">
        <f>'Poliof40 - LIVROB'!$F$246</f>
        <v>68</v>
      </c>
      <c r="H644" s="202">
        <f>'Poliof40 - LIVROB'!$G$246</f>
        <v>78</v>
      </c>
      <c r="I644" s="202">
        <f>'Poliof40 - LIVROB'!$H$246</f>
        <v>71</v>
      </c>
      <c r="J644" s="202">
        <f>'Poliof40 - LIVROB'!$I$246</f>
        <v>97</v>
      </c>
      <c r="K644" s="202">
        <f>'Poliof40 - LIVROB'!$J$246</f>
        <v>85</v>
      </c>
      <c r="L644" s="202">
        <f>'Poliof40 - LIVROB'!$K$246</f>
        <v>79</v>
      </c>
      <c r="M644" s="202">
        <f>'Poliof40 - LIVROB'!$L$246</f>
        <v>72</v>
      </c>
      <c r="N644" s="202">
        <f>'Poliof40 - LIVROB'!$M$246</f>
        <v>0</v>
      </c>
      <c r="O644" s="203">
        <f>'Poliof40 - LIVROB'!$N$246</f>
        <v>0</v>
      </c>
      <c r="P644" s="15"/>
      <c r="Q644" s="15"/>
      <c r="R644" s="15"/>
      <c r="S644" s="15"/>
      <c r="T644" s="15"/>
      <c r="U644" s="15"/>
      <c r="V644" s="15"/>
      <c r="W644" s="222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</row>
    <row r="645" spans="1:34" s="6" customFormat="1" ht="12.75" hidden="1">
      <c r="A645" s="15"/>
      <c r="B645" s="167" t="s">
        <v>230</v>
      </c>
      <c r="C645" s="220"/>
      <c r="D645" s="119"/>
      <c r="E645" s="119"/>
      <c r="F645" s="119"/>
      <c r="G645" s="119"/>
      <c r="H645" s="187"/>
      <c r="I645" s="187"/>
      <c r="J645" s="187"/>
      <c r="K645" s="187"/>
      <c r="L645" s="187"/>
      <c r="M645" s="187"/>
      <c r="N645" s="187"/>
      <c r="O645" s="207"/>
      <c r="P645" s="15"/>
      <c r="Q645" s="15"/>
      <c r="R645" s="15"/>
      <c r="S645" s="15"/>
      <c r="T645" s="15"/>
      <c r="U645" s="15"/>
      <c r="V645" s="15"/>
      <c r="W645" s="222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</row>
    <row r="646" spans="1:34" s="6" customFormat="1" ht="12.75" hidden="1">
      <c r="A646" s="15"/>
      <c r="B646" s="167" t="s">
        <v>242</v>
      </c>
      <c r="C646" s="215">
        <f>'Poliof40 - LIVROB'!$I$248</f>
        <v>1</v>
      </c>
      <c r="D646" s="202">
        <f>'Poliof40 - LIVROB'!$B$254+'Poliof40 - LIVROB'!$C$254</f>
        <v>1019</v>
      </c>
      <c r="E646" s="202">
        <f>'Poliof40 - LIVROB'!$D$254</f>
        <v>1535</v>
      </c>
      <c r="F646" s="202">
        <f>'Poliof40 - LIVROB'!$E$254</f>
        <v>2085</v>
      </c>
      <c r="G646" s="202">
        <f>'Poliof40 - LIVROB'!$F$254</f>
        <v>2028</v>
      </c>
      <c r="H646" s="202">
        <f>'Poliof40 - LIVROB'!$G$254</f>
        <v>2141</v>
      </c>
      <c r="I646" s="202">
        <f>'Poliof40 - LIVROB'!$H$254</f>
        <v>2343</v>
      </c>
      <c r="J646" s="202">
        <f>'Poliof40 - LIVROB'!$I$254</f>
        <v>2554</v>
      </c>
      <c r="K646" s="202">
        <f>'Poliof40 - LIVROB'!$J$254</f>
        <v>2457</v>
      </c>
      <c r="L646" s="202">
        <f>'Poliof40 - LIVROB'!$K$254</f>
        <v>2408</v>
      </c>
      <c r="M646" s="202">
        <f>'Poliof40 - LIVROB'!$L$254</f>
        <v>2255</v>
      </c>
      <c r="N646" s="202">
        <f>'Poliof40 - LIVROB'!$M$254</f>
        <v>0</v>
      </c>
      <c r="O646" s="203">
        <f>'Poliof40 - LIVROB'!$N$254</f>
        <v>0</v>
      </c>
      <c r="P646" s="15"/>
      <c r="Q646" s="15"/>
      <c r="R646" s="15"/>
      <c r="S646" s="15"/>
      <c r="T646" s="15"/>
      <c r="U646" s="15"/>
      <c r="V646" s="15"/>
      <c r="W646" s="222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</row>
    <row r="647" spans="1:34" s="6" customFormat="1" ht="13.5" hidden="1" thickBot="1">
      <c r="A647" s="15"/>
      <c r="B647" s="168" t="s">
        <v>230</v>
      </c>
      <c r="C647" s="221"/>
      <c r="D647" s="204"/>
      <c r="E647" s="204"/>
      <c r="F647" s="204"/>
      <c r="G647" s="204"/>
      <c r="H647" s="205"/>
      <c r="I647" s="205"/>
      <c r="J647" s="205"/>
      <c r="K647" s="205"/>
      <c r="L647" s="205"/>
      <c r="M647" s="205"/>
      <c r="N647" s="205"/>
      <c r="O647" s="206"/>
      <c r="P647" s="15"/>
      <c r="Q647" s="15"/>
      <c r="R647" s="15"/>
      <c r="S647" s="15"/>
      <c r="T647" s="15"/>
      <c r="U647" s="15"/>
      <c r="V647" s="15"/>
      <c r="W647" s="222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</row>
    <row r="648" spans="1:34" s="6" customFormat="1" ht="14.25" hidden="1" thickBot="1" thickTop="1">
      <c r="A648" s="15"/>
      <c r="B648" s="15"/>
      <c r="C648" s="15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5"/>
      <c r="Q648" s="15"/>
      <c r="R648" s="15"/>
      <c r="S648" s="15"/>
      <c r="T648" s="15"/>
      <c r="U648" s="15"/>
      <c r="V648" s="15"/>
      <c r="W648" s="222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</row>
    <row r="649" spans="1:34" s="6" customFormat="1" ht="13.5" hidden="1" thickTop="1">
      <c r="A649" s="15"/>
      <c r="B649" s="165" t="s">
        <v>243</v>
      </c>
      <c r="C649" s="217" t="s">
        <v>67</v>
      </c>
      <c r="D649" s="169" t="s">
        <v>217</v>
      </c>
      <c r="E649" s="169" t="s">
        <v>218</v>
      </c>
      <c r="F649" s="169" t="s">
        <v>219</v>
      </c>
      <c r="G649" s="169" t="s">
        <v>220</v>
      </c>
      <c r="H649" s="169" t="s">
        <v>221</v>
      </c>
      <c r="I649" s="169" t="s">
        <v>222</v>
      </c>
      <c r="J649" s="169" t="s">
        <v>232</v>
      </c>
      <c r="K649" s="169" t="s">
        <v>224</v>
      </c>
      <c r="L649" s="169" t="s">
        <v>225</v>
      </c>
      <c r="M649" s="169" t="s">
        <v>226</v>
      </c>
      <c r="N649" s="169" t="s">
        <v>227</v>
      </c>
      <c r="O649" s="170" t="s">
        <v>228</v>
      </c>
      <c r="P649" s="15"/>
      <c r="Q649" s="15"/>
      <c r="R649" s="15"/>
      <c r="S649" s="15"/>
      <c r="T649" s="15"/>
      <c r="U649" s="15"/>
      <c r="V649" s="15"/>
      <c r="W649" s="222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</row>
    <row r="650" spans="1:34" s="6" customFormat="1" ht="12.75" hidden="1">
      <c r="A650" s="15"/>
      <c r="B650" s="167" t="s">
        <v>244</v>
      </c>
      <c r="C650" s="215">
        <f>MAXA('Poliof40 - LIVROB'!$I$284,100)</f>
        <v>100</v>
      </c>
      <c r="D650" s="202">
        <f>'Poliof40 - LIVROB'!$B$290+'Poliof40 - LIVROB'!$C$290</f>
        <v>0</v>
      </c>
      <c r="E650" s="202">
        <f>'Poliof40 - LIVROB'!$D$290</f>
        <v>105</v>
      </c>
      <c r="F650" s="202">
        <f>'Poliof40 - LIVROB'!$E$290</f>
        <v>0</v>
      </c>
      <c r="G650" s="202">
        <f>'Poliof40 - LIVROB'!$F$290</f>
        <v>105</v>
      </c>
      <c r="H650" s="202">
        <f>'Poliof40 - LIVROB'!$G$290</f>
        <v>0</v>
      </c>
      <c r="I650" s="202">
        <f>'Poliof40 - LIVROB'!$H$290</f>
        <v>0</v>
      </c>
      <c r="J650" s="202">
        <f>'Poliof40 - LIVROB'!$I$290</f>
        <v>105</v>
      </c>
      <c r="K650" s="202">
        <f>'Poliof40 - LIVROB'!$J$290</f>
        <v>0</v>
      </c>
      <c r="L650" s="202">
        <f>'Poliof40 - LIVROB'!$K$290</f>
        <v>0</v>
      </c>
      <c r="M650" s="202">
        <f>'Poliof40 - LIVROB'!$L$290</f>
        <v>0</v>
      </c>
      <c r="N650" s="202">
        <f>'Poliof40 - LIVROB'!$M$290</f>
        <v>0</v>
      </c>
      <c r="O650" s="203">
        <f>'Poliof40 - LIVROB'!$N$290</f>
        <v>0</v>
      </c>
      <c r="P650" s="15"/>
      <c r="Q650" s="15"/>
      <c r="R650" s="15"/>
      <c r="S650" s="15"/>
      <c r="T650" s="15"/>
      <c r="U650" s="15"/>
      <c r="V650" s="15"/>
      <c r="W650" s="222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</row>
    <row r="651" spans="1:34" s="6" customFormat="1" ht="13.5" hidden="1" thickBot="1">
      <c r="A651" s="15"/>
      <c r="B651" s="168" t="s">
        <v>230</v>
      </c>
      <c r="C651" s="221"/>
      <c r="D651" s="204"/>
      <c r="E651" s="204"/>
      <c r="F651" s="204"/>
      <c r="G651" s="204"/>
      <c r="H651" s="205"/>
      <c r="I651" s="205"/>
      <c r="J651" s="205"/>
      <c r="K651" s="205"/>
      <c r="L651" s="205"/>
      <c r="M651" s="205"/>
      <c r="N651" s="205"/>
      <c r="O651" s="206"/>
      <c r="P651" s="15"/>
      <c r="Q651" s="15"/>
      <c r="R651" s="15"/>
      <c r="S651" s="15"/>
      <c r="T651" s="15"/>
      <c r="U651" s="15"/>
      <c r="V651" s="15"/>
      <c r="W651" s="222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</row>
    <row r="652" spans="1:33" s="6" customFormat="1" ht="13.5" hidden="1" thickTop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222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</row>
    <row r="653" spans="1:33" s="175" customFormat="1" ht="13.5" hidden="1" thickBot="1">
      <c r="A653" s="142"/>
      <c r="B653" s="174"/>
      <c r="C653" s="174"/>
      <c r="D653" s="174"/>
      <c r="E653" s="174"/>
      <c r="F653" s="174"/>
      <c r="G653" s="174"/>
      <c r="H653" s="174"/>
      <c r="I653" s="174"/>
      <c r="J653" s="174"/>
      <c r="K653" s="174"/>
      <c r="L653" s="174"/>
      <c r="M653" s="174"/>
      <c r="N653" s="174"/>
      <c r="O653" s="174"/>
      <c r="P653" s="174"/>
      <c r="Q653" s="174"/>
      <c r="R653" s="174"/>
      <c r="S653" s="174"/>
      <c r="T653" s="174"/>
      <c r="U653" s="174"/>
      <c r="V653" s="174"/>
      <c r="W653" s="234"/>
      <c r="X653" s="142"/>
      <c r="Y653" s="142"/>
      <c r="Z653" s="142"/>
      <c r="AA653" s="142"/>
      <c r="AB653" s="142"/>
      <c r="AC653" s="142"/>
      <c r="AD653" s="142"/>
      <c r="AE653" s="142"/>
      <c r="AF653" s="142"/>
      <c r="AG653" s="142"/>
    </row>
    <row r="654" spans="1:33" s="6" customFormat="1" ht="12.75" hidden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222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</row>
    <row r="655" spans="1:33" s="6" customFormat="1" ht="20.25" hidden="1">
      <c r="A655" s="15"/>
      <c r="B655" s="15"/>
      <c r="C655" s="15"/>
      <c r="D655" s="252" t="s">
        <v>245</v>
      </c>
      <c r="E655" s="258"/>
      <c r="F655" s="253"/>
      <c r="G655" s="253"/>
      <c r="H655" s="254"/>
      <c r="I655" s="254"/>
      <c r="J655" s="16" t="s">
        <v>0</v>
      </c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222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</row>
    <row r="656" spans="1:33" s="6" customFormat="1" ht="18" hidden="1">
      <c r="A656" s="15"/>
      <c r="B656" s="15"/>
      <c r="C656" s="15"/>
      <c r="D656" s="255" t="s">
        <v>246</v>
      </c>
      <c r="E656" s="259"/>
      <c r="F656" s="256"/>
      <c r="G656" s="256"/>
      <c r="H656" s="257"/>
      <c r="I656" s="257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222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</row>
    <row r="657" spans="1:33" s="6" customFormat="1" ht="18" hidden="1">
      <c r="A657" s="15"/>
      <c r="B657" s="15"/>
      <c r="C657" s="15"/>
      <c r="D657" s="20"/>
      <c r="E657" s="22"/>
      <c r="F657" s="22"/>
      <c r="G657" s="22"/>
      <c r="H657" s="22"/>
      <c r="I657" s="22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222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</row>
    <row r="658" spans="1:33" s="6" customFormat="1" ht="15.75" hidden="1">
      <c r="A658" s="15"/>
      <c r="B658" s="114"/>
      <c r="C658" s="262" t="s">
        <v>247</v>
      </c>
      <c r="D658" s="260" t="s">
        <v>248</v>
      </c>
      <c r="E658" s="261"/>
      <c r="F658" s="261"/>
      <c r="G658" s="261"/>
      <c r="H658" s="261"/>
      <c r="I658" s="261"/>
      <c r="J658" s="261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222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</row>
    <row r="659" spans="1:33" s="6" customFormat="1" ht="15" hidden="1">
      <c r="A659" s="15"/>
      <c r="B659" s="114"/>
      <c r="C659" s="263"/>
      <c r="D659" s="260" t="s">
        <v>249</v>
      </c>
      <c r="E659" s="261"/>
      <c r="F659" s="261"/>
      <c r="G659" s="261"/>
      <c r="H659" s="261"/>
      <c r="I659" s="261"/>
      <c r="J659" s="261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222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</row>
    <row r="660" spans="1:33" s="6" customFormat="1" ht="15" hidden="1">
      <c r="A660" s="15"/>
      <c r="B660" s="114"/>
      <c r="C660" s="261"/>
      <c r="D660" s="260" t="s">
        <v>250</v>
      </c>
      <c r="E660" s="261"/>
      <c r="F660" s="261"/>
      <c r="G660" s="261"/>
      <c r="H660" s="261"/>
      <c r="I660" s="261"/>
      <c r="J660" s="261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222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</row>
    <row r="661" spans="1:33" s="6" customFormat="1" ht="15" hidden="1">
      <c r="A661" s="15"/>
      <c r="B661" s="114"/>
      <c r="C661" s="261"/>
      <c r="D661" s="260" t="s">
        <v>251</v>
      </c>
      <c r="E661" s="261"/>
      <c r="F661" s="261"/>
      <c r="G661" s="261"/>
      <c r="H661" s="261"/>
      <c r="I661" s="261"/>
      <c r="J661" s="261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222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</row>
    <row r="662" spans="1:33" s="6" customFormat="1" ht="15" hidden="1">
      <c r="A662" s="15"/>
      <c r="B662" s="114"/>
      <c r="C662" s="261"/>
      <c r="D662" s="260" t="s">
        <v>252</v>
      </c>
      <c r="E662" s="261"/>
      <c r="F662" s="261"/>
      <c r="G662" s="261"/>
      <c r="H662" s="261"/>
      <c r="I662" s="261"/>
      <c r="J662" s="261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222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</row>
    <row r="663" spans="1:33" s="6" customFormat="1" ht="12.75" hidden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225" t="s">
        <v>0</v>
      </c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</row>
    <row r="664" spans="1:33" s="6" customFormat="1" ht="12.75" hidden="1">
      <c r="A664" s="15"/>
      <c r="B664" s="15"/>
      <c r="C664" s="15"/>
      <c r="D664" s="15"/>
      <c r="E664" s="16"/>
      <c r="F664" s="18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222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</row>
    <row r="665" spans="1:33" s="6" customFormat="1" ht="18" customHeight="1" hidden="1">
      <c r="A665" s="15"/>
      <c r="B665" s="15"/>
      <c r="C665" s="16" t="s">
        <v>0</v>
      </c>
      <c r="D665" s="15"/>
      <c r="E665" s="266"/>
      <c r="F665" s="267" t="s">
        <v>253</v>
      </c>
      <c r="G665" s="268"/>
      <c r="H665" s="269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222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</row>
    <row r="666" spans="1:33" s="6" customFormat="1" ht="12.75" hidden="1">
      <c r="A666" s="15"/>
      <c r="B666" s="15"/>
      <c r="C666" s="15"/>
      <c r="D666" s="15"/>
      <c r="E666" s="16"/>
      <c r="F666" s="18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222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</row>
    <row r="667" spans="1:33" s="6" customFormat="1" ht="15.75" hidden="1">
      <c r="A667" s="15"/>
      <c r="B667" s="54"/>
      <c r="C667" s="209" t="s">
        <v>254</v>
      </c>
      <c r="D667" s="22"/>
      <c r="E667" s="22"/>
      <c r="F667" s="22"/>
      <c r="G667" s="22"/>
      <c r="H667" s="22"/>
      <c r="I667" s="22"/>
      <c r="J667" s="22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222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</row>
    <row r="668" spans="1:33" s="6" customFormat="1" ht="13.5" hidden="1" thickBo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222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</row>
    <row r="669" spans="1:33" s="6" customFormat="1" ht="14.25" hidden="1" thickBot="1" thickTop="1">
      <c r="A669" s="15"/>
      <c r="B669" s="36"/>
      <c r="C669" s="37"/>
      <c r="D669" s="38" t="s">
        <v>217</v>
      </c>
      <c r="E669" s="39"/>
      <c r="F669" s="37"/>
      <c r="G669" s="38" t="s">
        <v>218</v>
      </c>
      <c r="H669" s="39"/>
      <c r="I669" s="37"/>
      <c r="J669" s="38" t="s">
        <v>219</v>
      </c>
      <c r="K669" s="39"/>
      <c r="L669" s="37"/>
      <c r="M669" s="38" t="s">
        <v>220</v>
      </c>
      <c r="N669" s="37"/>
      <c r="O669" s="40" t="s">
        <v>221</v>
      </c>
      <c r="P669" s="40" t="s">
        <v>222</v>
      </c>
      <c r="Q669" s="40" t="s">
        <v>232</v>
      </c>
      <c r="R669" s="40" t="s">
        <v>224</v>
      </c>
      <c r="S669" s="40" t="s">
        <v>225</v>
      </c>
      <c r="T669" s="40" t="s">
        <v>226</v>
      </c>
      <c r="U669" s="40" t="s">
        <v>227</v>
      </c>
      <c r="V669" s="41" t="s">
        <v>228</v>
      </c>
      <c r="W669" s="222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</row>
    <row r="670" spans="1:33" s="6" customFormat="1" ht="13.5" hidden="1" thickTop="1">
      <c r="A670" s="15"/>
      <c r="B670" s="42" t="s">
        <v>114</v>
      </c>
      <c r="C670" s="43"/>
      <c r="D670" s="44">
        <f>IF('Poliof40 - LIVROB'!$G$510=1,'Poliof40 - LIVROB'!$C$85,0)</f>
        <v>0</v>
      </c>
      <c r="E670" s="45"/>
      <c r="F670" s="43"/>
      <c r="G670" s="44">
        <f>IF('Poliof40 - LIVROB'!$G$510=1,'Poliof40 - LIVROB'!$D$85,0)</f>
        <v>0</v>
      </c>
      <c r="H670" s="45"/>
      <c r="I670" s="43"/>
      <c r="J670" s="44">
        <f>IF('Poliof40 - LIVROB'!$G$510=1,'Poliof40 - LIVROB'!$E$85,0)</f>
        <v>0</v>
      </c>
      <c r="K670" s="45"/>
      <c r="L670" s="43"/>
      <c r="M670" s="44">
        <f>IF('Poliof40 - LIVROB'!$G$510=1,'Poliof40 - LIVROB'!$F$85,0)</f>
        <v>0</v>
      </c>
      <c r="N670" s="43"/>
      <c r="O670" s="46">
        <f>IF('Poliof40 - LIVROB'!$G$510=1,'Poliof40 - LIVROB'!$G$85,0)</f>
        <v>0</v>
      </c>
      <c r="P670" s="46">
        <f>IF('Poliof40 - LIVROB'!$G$510=1,'Poliof40 - LIVROB'!$H$85,0)</f>
        <v>0</v>
      </c>
      <c r="Q670" s="46">
        <f>IF('Poliof40 - LIVROB'!$G$510=1,'Poliof40 - LIVROB'!$I$85,0)</f>
        <v>0</v>
      </c>
      <c r="R670" s="46">
        <f>IF('Poliof40 - LIVROB'!$G$510=1,'Poliof40 - LIVROB'!$J$85,0)</f>
        <v>0</v>
      </c>
      <c r="S670" s="46">
        <f>IF('Poliof40 - LIVROB'!$G$510=1,'Poliof40 - LIVROB'!$K$85,0)</f>
        <v>0</v>
      </c>
      <c r="T670" s="46">
        <f>IF('Poliof40 - LIVROB'!$G$510=1,'Poliof40 - LIVROB'!$L$85,0)</f>
        <v>0</v>
      </c>
      <c r="U670" s="46">
        <f>IF('Poliof40 - LIVROB'!$G$510=1,'Poliof40 - LIVROB'!$M$85,0)</f>
        <v>0</v>
      </c>
      <c r="V670" s="47">
        <f>IF('Poliof40 - LIVROB'!$G$510=1,'Poliof40 - LIVROB'!$N$85,0)</f>
        <v>0</v>
      </c>
      <c r="W670" s="222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</row>
    <row r="671" spans="1:33" s="6" customFormat="1" ht="12.75" hidden="1">
      <c r="A671" s="15"/>
      <c r="B671" s="42" t="s">
        <v>115</v>
      </c>
      <c r="C671" s="43"/>
      <c r="D671" s="44">
        <f>IF('Poliof40 - LIVROB'!$G$510=1,'Poliof40 - LIVROB'!$C$92,0)</f>
        <v>0</v>
      </c>
      <c r="E671" s="45"/>
      <c r="F671" s="43"/>
      <c r="G671" s="44">
        <f>IF('Poliof40 - LIVROB'!$G$510=1,'Poliof40 - LIVROB'!$D$92,0)</f>
        <v>0</v>
      </c>
      <c r="H671" s="45"/>
      <c r="I671" s="43"/>
      <c r="J671" s="44">
        <f>IF('Poliof40 - LIVROB'!$G$510=1,'Poliof40 - LIVROB'!$E$92,0)</f>
        <v>0</v>
      </c>
      <c r="K671" s="45"/>
      <c r="L671" s="43"/>
      <c r="M671" s="44">
        <f>IF('Poliof40 - LIVROB'!$G$510=1,'Poliof40 - LIVROB'!$F$92,0)</f>
        <v>0</v>
      </c>
      <c r="N671" s="43"/>
      <c r="O671" s="46">
        <f>IF('Poliof40 - LIVROB'!$G$510=1,'Poliof40 - LIVROB'!$G$92,0)</f>
        <v>0</v>
      </c>
      <c r="P671" s="46">
        <f>IF('Poliof40 - LIVROB'!$G$510=1,'Poliof40 - LIVROB'!$H$92,0)</f>
        <v>0</v>
      </c>
      <c r="Q671" s="46">
        <f>IF('Poliof40 - LIVROB'!$G$510=1,'Poliof40 - LIVROB'!$I$92,0)</f>
        <v>0</v>
      </c>
      <c r="R671" s="46">
        <f>IF('Poliof40 - LIVROB'!$G$510=1,'Poliof40 - LIVROB'!$J$92,0)</f>
        <v>0</v>
      </c>
      <c r="S671" s="46">
        <f>IF('Poliof40 - LIVROB'!$G$510=1,'Poliof40 - LIVROB'!$K$92,0)</f>
        <v>0</v>
      </c>
      <c r="T671" s="46">
        <f>IF('Poliof40 - LIVROB'!$G$510=1,'Poliof40 - LIVROB'!$L$92,0)</f>
        <v>0</v>
      </c>
      <c r="U671" s="46">
        <f>IF('Poliof40 - LIVROB'!$G$510=1,'Poliof40 - LIVROB'!$M$92,0)</f>
        <v>0</v>
      </c>
      <c r="V671" s="47">
        <f>IF('Poliof40 - LIVROB'!$G$510=1,'Poliof40 - LIVROB'!$N$92,0)</f>
        <v>0</v>
      </c>
      <c r="W671" s="222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</row>
    <row r="672" spans="1:33" s="6" customFormat="1" ht="12.75" hidden="1">
      <c r="A672" s="15"/>
      <c r="B672" s="42" t="s">
        <v>116</v>
      </c>
      <c r="C672" s="43"/>
      <c r="D672" s="44">
        <f>IF('Poliof40 - LIVROB'!$G$510=1,'Poliof40 - LIVROB'!$C$99,0)</f>
        <v>0</v>
      </c>
      <c r="E672" s="45"/>
      <c r="F672" s="43"/>
      <c r="G672" s="44">
        <f>IF('Poliof40 - LIVROB'!$G$510=1,'Poliof40 - LIVROB'!$D$99,0)</f>
        <v>0</v>
      </c>
      <c r="H672" s="45"/>
      <c r="I672" s="43"/>
      <c r="J672" s="44">
        <f>IF('Poliof40 - LIVROB'!$G$510=1,'Poliof40 - LIVROB'!$E$99,0)</f>
        <v>0</v>
      </c>
      <c r="K672" s="45"/>
      <c r="L672" s="43"/>
      <c r="M672" s="44">
        <f>IF('Poliof40 - LIVROB'!$G$510=1,'Poliof40 - LIVROB'!$F$99,0)</f>
        <v>0</v>
      </c>
      <c r="N672" s="43"/>
      <c r="O672" s="46">
        <f>IF('Poliof40 - LIVROB'!$G$510=1,'Poliof40 - LIVROB'!$G$99,0)</f>
        <v>0</v>
      </c>
      <c r="P672" s="46">
        <f>IF('Poliof40 - LIVROB'!$G$510=1,'Poliof40 - LIVROB'!$H$99,0)</f>
        <v>0</v>
      </c>
      <c r="Q672" s="46">
        <f>IF('Poliof40 - LIVROB'!$G$510=1,'Poliof40 - LIVROB'!$I$99,0)</f>
        <v>0</v>
      </c>
      <c r="R672" s="46">
        <f>IF('Poliof40 - LIVROB'!$G$510=1,'Poliof40 - LIVROB'!$J$99,0)</f>
        <v>0</v>
      </c>
      <c r="S672" s="46">
        <f>IF('Poliof40 - LIVROB'!$G$510=1,'Poliof40 - LIVROB'!$K$99,0)</f>
        <v>0</v>
      </c>
      <c r="T672" s="46">
        <f>IF('Poliof40 - LIVROB'!$G$510=1,'Poliof40 - LIVROB'!$L$99,0)</f>
        <v>0</v>
      </c>
      <c r="U672" s="46">
        <f>IF('Poliof40 - LIVROB'!$G$510=1,'Poliof40 - LIVROB'!$M$99,0)</f>
        <v>0</v>
      </c>
      <c r="V672" s="47">
        <f>IF('Poliof40 - LIVROB'!$G$510=1,'Poliof40 - LIVROB'!$N$99,0)</f>
        <v>0</v>
      </c>
      <c r="W672" s="222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</row>
    <row r="673" spans="1:33" s="6" customFormat="1" ht="12.75" hidden="1">
      <c r="A673" s="15"/>
      <c r="B673" s="42" t="s">
        <v>117</v>
      </c>
      <c r="C673" s="43"/>
      <c r="D673" s="44">
        <f>IF('Poliof40 - LIVROB'!$G$510=1,'Poliof40 - LIVROB'!$C$106,0)</f>
        <v>0</v>
      </c>
      <c r="E673" s="45"/>
      <c r="F673" s="43"/>
      <c r="G673" s="44">
        <f>IF('Poliof40 - LIVROB'!$G$510=1,'Poliof40 - LIVROB'!$D$106,0)</f>
        <v>0</v>
      </c>
      <c r="H673" s="45"/>
      <c r="I673" s="43"/>
      <c r="J673" s="44">
        <f>IF('Poliof40 - LIVROB'!$G$510=1,'Poliof40 - LIVROB'!$E$106,0)</f>
        <v>0</v>
      </c>
      <c r="K673" s="45"/>
      <c r="L673" s="43"/>
      <c r="M673" s="44">
        <f>IF('Poliof40 - LIVROB'!$G$510=1,'Poliof40 - LIVROB'!$F$106,0)</f>
        <v>0</v>
      </c>
      <c r="N673" s="43"/>
      <c r="O673" s="46">
        <f>IF('Poliof40 - LIVROB'!$G$510=1,'Poliof40 - LIVROB'!$G$106,0)</f>
        <v>0</v>
      </c>
      <c r="P673" s="46">
        <f>IF('Poliof40 - LIVROB'!$G$510=1,'Poliof40 - LIVROB'!$H$106,0)</f>
        <v>0</v>
      </c>
      <c r="Q673" s="46">
        <f>IF('Poliof40 - LIVROB'!$G$510=1,'Poliof40 - LIVROB'!$I$106,0)</f>
        <v>0</v>
      </c>
      <c r="R673" s="46">
        <f>IF('Poliof40 - LIVROB'!$G$510=1,'Poliof40 - LIVROB'!$J$106,0)</f>
        <v>0</v>
      </c>
      <c r="S673" s="46">
        <f>IF('Poliof40 - LIVROB'!$G$510=1,'Poliof40 - LIVROB'!$K$106,0)</f>
        <v>0</v>
      </c>
      <c r="T673" s="46">
        <f>IF('Poliof40 - LIVROB'!$G$510=1,'Poliof40 - LIVROB'!$L$106,0)</f>
        <v>0</v>
      </c>
      <c r="U673" s="46">
        <f>IF('Poliof40 - LIVROB'!$G$510=1,'Poliof40 - LIVROB'!$M$106,0)</f>
        <v>0</v>
      </c>
      <c r="V673" s="47">
        <f>IF('Poliof40 - LIVROB'!$G$510=1,'Poliof40 - LIVROB'!$N$106,0)</f>
        <v>0</v>
      </c>
      <c r="W673" s="222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</row>
    <row r="674" spans="1:33" s="6" customFormat="1" ht="13.5" hidden="1" thickBot="1">
      <c r="A674" s="15"/>
      <c r="B674" s="48" t="s">
        <v>118</v>
      </c>
      <c r="C674" s="49"/>
      <c r="D674" s="50">
        <f>IF('Poliof40 - LIVROB'!$G$510=1,'Poliof40 - LIVROB'!$C$113,0)</f>
        <v>0</v>
      </c>
      <c r="E674" s="51"/>
      <c r="F674" s="49"/>
      <c r="G674" s="50">
        <f>IF('Poliof40 - LIVROB'!$G$510=1,'Poliof40 - LIVROB'!$D$113,0)</f>
        <v>0</v>
      </c>
      <c r="H674" s="51"/>
      <c r="I674" s="49"/>
      <c r="J674" s="50">
        <f>IF('Poliof40 - LIVROB'!$G$510=1,'Poliof40 - LIVROB'!$E$113,0)</f>
        <v>0</v>
      </c>
      <c r="K674" s="51"/>
      <c r="L674" s="49"/>
      <c r="M674" s="50">
        <f>IF('Poliof40 - LIVROB'!$G$510=1,'Poliof40 - LIVROB'!$F$113,0)</f>
        <v>0</v>
      </c>
      <c r="N674" s="49"/>
      <c r="O674" s="52">
        <f>IF('Poliof40 - LIVROB'!$G$510=1,'Poliof40 - LIVROB'!$G$113,0)</f>
        <v>0</v>
      </c>
      <c r="P674" s="52">
        <f>IF('Poliof40 - LIVROB'!$G$510=1,'Poliof40 - LIVROB'!$H$113,0)</f>
        <v>0</v>
      </c>
      <c r="Q674" s="52">
        <f>IF('Poliof40 - LIVROB'!$G$510=1,'Poliof40 - LIVROB'!$I$113,0)</f>
        <v>0</v>
      </c>
      <c r="R674" s="52">
        <f>IF('Poliof40 - LIVROB'!$G$510=1,'Poliof40 - LIVROB'!$J$113,0)</f>
        <v>0</v>
      </c>
      <c r="S674" s="52">
        <f>IF('Poliof40 - LIVROB'!$G$510=1,'Poliof40 - LIVROB'!$K$113,0)</f>
        <v>0</v>
      </c>
      <c r="T674" s="52">
        <f>IF('Poliof40 - LIVROB'!$G$510=1,'Poliof40 - LIVROB'!$L$113,0)</f>
        <v>0</v>
      </c>
      <c r="U674" s="52">
        <f>IF('Poliof40 - LIVROB'!$G$510=1,'Poliof40 - LIVROB'!$M$113,0)</f>
        <v>0</v>
      </c>
      <c r="V674" s="53">
        <f>IF('Poliof40 - LIVROB'!$G$510=1,'Poliof40 - LIVROB'!$N$113,0)</f>
        <v>0</v>
      </c>
      <c r="W674" s="222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</row>
    <row r="675" spans="1:33" s="6" customFormat="1" ht="13.5" hidden="1" thickTop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222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</row>
    <row r="676" spans="1:33" s="6" customFormat="1" ht="12.75" hidden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222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</row>
    <row r="677" spans="1:33" s="6" customFormat="1" ht="15.75" hidden="1">
      <c r="A677" s="15"/>
      <c r="B677" s="15"/>
      <c r="C677" s="15"/>
      <c r="D677" s="15"/>
      <c r="E677" s="172" t="s">
        <v>255</v>
      </c>
      <c r="F677" s="22"/>
      <c r="G677" s="22"/>
      <c r="H677" s="22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222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</row>
    <row r="678" spans="1:33" s="6" customFormat="1" ht="12.75" hidden="1">
      <c r="A678" s="15"/>
      <c r="B678" s="15"/>
      <c r="C678" s="15"/>
      <c r="D678" s="15"/>
      <c r="E678" s="17"/>
      <c r="F678" s="17"/>
      <c r="G678" s="18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222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</row>
    <row r="679" spans="1:33" s="6" customFormat="1" ht="15.75" hidden="1">
      <c r="A679" s="15"/>
      <c r="B679" s="15"/>
      <c r="C679" s="15"/>
      <c r="D679" s="172" t="s">
        <v>256</v>
      </c>
      <c r="E679" s="22"/>
      <c r="F679" s="22"/>
      <c r="G679" s="22"/>
      <c r="H679" s="22"/>
      <c r="I679" s="22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222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</row>
    <row r="680" spans="1:33" s="6" customFormat="1" ht="13.5" hidden="1" thickBo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222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</row>
    <row r="681" spans="1:33" s="6" customFormat="1" ht="14.25" hidden="1" thickBot="1" thickTop="1">
      <c r="A681" s="15"/>
      <c r="B681" s="55" t="s">
        <v>257</v>
      </c>
      <c r="C681" s="56" t="s">
        <v>258</v>
      </c>
      <c r="D681" s="57"/>
      <c r="E681" s="58"/>
      <c r="F681" s="56" t="s">
        <v>259</v>
      </c>
      <c r="G681" s="57"/>
      <c r="H681" s="58"/>
      <c r="I681" s="56" t="s">
        <v>260</v>
      </c>
      <c r="J681" s="57"/>
      <c r="K681" s="58"/>
      <c r="L681" s="59" t="s">
        <v>261</v>
      </c>
      <c r="M681" s="57"/>
      <c r="N681" s="60"/>
      <c r="O681" s="16" t="s">
        <v>0</v>
      </c>
      <c r="P681" s="15"/>
      <c r="Q681" s="15"/>
      <c r="R681" s="15"/>
      <c r="S681" s="15"/>
      <c r="T681" s="15"/>
      <c r="U681" s="15"/>
      <c r="V681" s="15"/>
      <c r="W681" s="222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</row>
    <row r="682" spans="1:33" s="6" customFormat="1" ht="26.25" customHeight="1" hidden="1" thickTop="1">
      <c r="A682" s="15"/>
      <c r="B682" s="61"/>
      <c r="C682" s="367" t="s">
        <v>262</v>
      </c>
      <c r="D682" s="368" t="s">
        <v>263</v>
      </c>
      <c r="E682" s="238" t="s">
        <v>264</v>
      </c>
      <c r="F682" s="367" t="s">
        <v>262</v>
      </c>
      <c r="G682" s="369" t="s">
        <v>263</v>
      </c>
      <c r="H682" s="238" t="s">
        <v>264</v>
      </c>
      <c r="I682" s="367" t="s">
        <v>262</v>
      </c>
      <c r="J682" s="369" t="s">
        <v>263</v>
      </c>
      <c r="K682" s="238" t="s">
        <v>264</v>
      </c>
      <c r="L682" s="367" t="s">
        <v>262</v>
      </c>
      <c r="M682" s="369" t="s">
        <v>263</v>
      </c>
      <c r="N682" s="238" t="s">
        <v>264</v>
      </c>
      <c r="O682" s="15"/>
      <c r="P682" s="15"/>
      <c r="Q682" s="15"/>
      <c r="R682" s="15"/>
      <c r="S682" s="15"/>
      <c r="T682" s="15"/>
      <c r="U682" s="15"/>
      <c r="V682" s="15"/>
      <c r="W682" s="222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</row>
    <row r="683" spans="1:33" s="6" customFormat="1" ht="12.75" hidden="1">
      <c r="A683" s="15"/>
      <c r="B683" s="63" t="s">
        <v>265</v>
      </c>
      <c r="C683" s="370"/>
      <c r="D683" s="370"/>
      <c r="E683" s="365">
        <f>IF(C683=1,D683*'Poliof40 - LIVROB'!$F$537,IF(C683=2,D683*'Poliof40 - LIVROB'!$F$538,IF(C683=3,D683*'Poliof40 - LIVROB'!$F$539,IF(C683=4,D683*'Poliof40 - LIVROB'!$F$540,IF(C683=5,D683*'Poliof40 - LIVROB'!$F$541,0)))))</f>
        <v>0</v>
      </c>
      <c r="F683" s="370"/>
      <c r="G683" s="370"/>
      <c r="H683" s="365">
        <f>IF(F683=1,G683*'Poliof40 - LIVROB'!$F$537,IF(F683=2,G683*'Poliof40 - LIVROB'!$F$538,IF(F683=3,G683*'Poliof40 - LIVROB'!$F$539,IF(F683=4,G683*'Poliof40 - LIVROB'!$F$540,IF(F683=5,G683*'Poliof40 - LIVROB'!$F$541,0)))))</f>
        <v>0</v>
      </c>
      <c r="I683" s="370"/>
      <c r="J683" s="370"/>
      <c r="K683" s="365">
        <f>IF(I683=1,J683*'Poliof40 - LIVROB'!$F$537,IF(I683=2,J683*'Poliof40 - LIVROB'!$F$538,IF(I683=3,J683*'Poliof40 - LIVROB'!$F$539,IF(I683=4,J683*'Poliof40 - LIVROB'!$F$540,IF(I683=5,J683*'Poliof40 - LIVROB'!$F$541,0)))))</f>
        <v>0</v>
      </c>
      <c r="L683" s="370"/>
      <c r="M683" s="370"/>
      <c r="N683" s="365">
        <f>IF(L683=1,M683*'Poliof40 - LIVROB'!$F$537,IF(L683=2,M683*'Poliof40 - LIVROB'!$F$538,IF(L683=3,M683*'Poliof40 - LIVROB'!$F$539,IF(L683=4,M683*'Poliof40 - LIVROB'!$F$540,IF(L683=5,M683*'Poliof40 - LIVROB'!$F$541,0)))))</f>
        <v>0</v>
      </c>
      <c r="O683" s="15"/>
      <c r="P683" s="15"/>
      <c r="Q683" s="15"/>
      <c r="R683" s="15"/>
      <c r="S683" s="15"/>
      <c r="T683" s="15"/>
      <c r="U683" s="15"/>
      <c r="V683" s="15"/>
      <c r="W683" s="222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</row>
    <row r="684" spans="1:33" s="6" customFormat="1" ht="12.75" hidden="1">
      <c r="A684" s="15"/>
      <c r="B684" s="64"/>
      <c r="C684" s="370"/>
      <c r="D684" s="370"/>
      <c r="E684" s="366">
        <f>IF(C684=1,D684*'Poliof40 - LIVROB'!$F$537,IF(C684=2,D684*'Poliof40 - LIVROB'!$F$538,IF(C684=3,D684*'Poliof40 - LIVROB'!$F$539,IF(C684=4,D684*'Poliof40 - LIVROB'!$F$540,IF(C684=5,D684*'Poliof40 - LIVROB'!$F$541,0)))))+E683</f>
        <v>0</v>
      </c>
      <c r="F684" s="370"/>
      <c r="G684" s="370"/>
      <c r="H684" s="366">
        <f>IF(F684=1,G684*'Poliof40 - LIVROB'!$F$537,IF(F684=2,G684*'Poliof40 - LIVROB'!$F$538,IF(F684=3,G684*'Poliof40 - LIVROB'!$F$539,IF(F684=4,G684*'Poliof40 - LIVROB'!$F$540,IF(F684=5,G684*'Poliof40 - LIVROB'!$F$541,0)))))+H683</f>
        <v>0</v>
      </c>
      <c r="I684" s="370"/>
      <c r="J684" s="370"/>
      <c r="K684" s="366">
        <f>IF(I684=1,J684*'Poliof40 - LIVROB'!$F$537,IF(I684=2,J684*'Poliof40 - LIVROB'!$F$538,IF(I684=3,J684*'Poliof40 - LIVROB'!$F$539,IF(I684=4,J684*'Poliof40 - LIVROB'!$F$540,IF(I684=5,J684*'Poliof40 - LIVROB'!$F$541,0)))))+K683</f>
        <v>0</v>
      </c>
      <c r="L684" s="370"/>
      <c r="M684" s="370"/>
      <c r="N684" s="366">
        <f>IF(L684=1,M684*'Poliof40 - LIVROB'!$F$537,IF(L684=2,M684*'Poliof40 - LIVROB'!$F$538,IF(L684=3,M684*'Poliof40 - LIVROB'!$F$539,IF(L684=4,M684*'Poliof40 - LIVROB'!$F$540,IF(L684=5,M684*'Poliof40 - LIVROB'!$F$541,0)))))+N683</f>
        <v>0</v>
      </c>
      <c r="O684" s="15"/>
      <c r="P684" s="15"/>
      <c r="Q684" s="15"/>
      <c r="R684" s="15"/>
      <c r="S684" s="15"/>
      <c r="T684" s="15"/>
      <c r="U684" s="15"/>
      <c r="V684" s="15"/>
      <c r="W684" s="222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</row>
    <row r="685" spans="1:33" s="6" customFormat="1" ht="12.75" hidden="1">
      <c r="A685" s="15"/>
      <c r="B685" s="63" t="s">
        <v>266</v>
      </c>
      <c r="C685" s="370"/>
      <c r="D685" s="370"/>
      <c r="E685" s="366">
        <f>IF(C685=1,D685*'Poliof40 - LIVROB'!$F$537,IF(C685=2,D685*'Poliof40 - LIVROB'!$F$538,IF(C685=3,D685*'Poliof40 - LIVROB'!$F$539,IF(C685=4,D685*'Poliof40 - LIVROB'!$F$540,IF(C685=5,D685*'Poliof40 - LIVROB'!$F$541,0)))))+E684</f>
        <v>0</v>
      </c>
      <c r="F685" s="370"/>
      <c r="G685" s="370"/>
      <c r="H685" s="366">
        <f>IF(F685=1,G685*'Poliof40 - LIVROB'!$F$537,IF(F685=2,G685*'Poliof40 - LIVROB'!$F$538,IF(F685=3,G685*'Poliof40 - LIVROB'!$F$539,IF(F685=4,G685*'Poliof40 - LIVROB'!$F$540,IF(F685=5,G685*'Poliof40 - LIVROB'!$F$541,0)))))+H684</f>
        <v>0</v>
      </c>
      <c r="I685" s="370"/>
      <c r="J685" s="370"/>
      <c r="K685" s="366">
        <f>IF(I685=1,J685*'Poliof40 - LIVROB'!$F$537,IF(I685=2,J685*'Poliof40 - LIVROB'!$F$538,IF(I685=3,J685*'Poliof40 - LIVROB'!$F$539,IF(I685=4,J685*'Poliof40 - LIVROB'!$F$540,IF(I685=5,J685*'Poliof40 - LIVROB'!$F$541,0)))))+K684</f>
        <v>0</v>
      </c>
      <c r="L685" s="370"/>
      <c r="M685" s="370"/>
      <c r="N685" s="366">
        <f>IF(L685=1,M685*'Poliof40 - LIVROB'!$F$537,IF(L685=2,M685*'Poliof40 - LIVROB'!$F$538,IF(L685=3,M685*'Poliof40 - LIVROB'!$F$539,IF(L685=4,M685*'Poliof40 - LIVROB'!$F$540,IF(L685=5,M685*'Poliof40 - LIVROB'!$F$541,0)))))+N684</f>
        <v>0</v>
      </c>
      <c r="O685" s="15"/>
      <c r="P685" s="15"/>
      <c r="Q685" s="15"/>
      <c r="R685" s="15"/>
      <c r="S685" s="15"/>
      <c r="T685" s="15"/>
      <c r="U685" s="15"/>
      <c r="V685" s="15"/>
      <c r="W685" s="222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</row>
    <row r="686" spans="1:33" s="6" customFormat="1" ht="12.75" hidden="1">
      <c r="A686" s="15"/>
      <c r="B686" s="64"/>
      <c r="C686" s="370"/>
      <c r="D686" s="370"/>
      <c r="E686" s="366">
        <f>IF(C686=1,D686*'Poliof40 - LIVROB'!$F$537,IF(C686=2,D686*'Poliof40 - LIVROB'!$F$538,IF(C686=3,D686*'Poliof40 - LIVROB'!$F$539,IF(C686=4,D686*'Poliof40 - LIVROB'!$F$540,IF(C686=5,D686*'Poliof40 - LIVROB'!$F$541,0)))))+E685</f>
        <v>0</v>
      </c>
      <c r="F686" s="370"/>
      <c r="G686" s="370"/>
      <c r="H686" s="366">
        <f>IF(F686=1,G686*'Poliof40 - LIVROB'!$F$537,IF(F686=2,G686*'Poliof40 - LIVROB'!$F$538,IF(F686=3,G686*'Poliof40 - LIVROB'!$F$539,IF(F686=4,G686*'Poliof40 - LIVROB'!$F$540,IF(F686=5,G686*'Poliof40 - LIVROB'!$F$541,0)))))+H685</f>
        <v>0</v>
      </c>
      <c r="I686" s="370"/>
      <c r="J686" s="370"/>
      <c r="K686" s="366">
        <f>IF(I686=1,J686*'Poliof40 - LIVROB'!$F$537,IF(I686=2,J686*'Poliof40 - LIVROB'!$F$538,IF(I686=3,J686*'Poliof40 - LIVROB'!$F$539,IF(I686=4,J686*'Poliof40 - LIVROB'!$F$540,IF(I686=5,J686*'Poliof40 - LIVROB'!$F$541,0)))))+K685</f>
        <v>0</v>
      </c>
      <c r="L686" s="370"/>
      <c r="M686" s="370"/>
      <c r="N686" s="366">
        <f>IF(L686=1,M686*'Poliof40 - LIVROB'!$F$537,IF(L686=2,M686*'Poliof40 - LIVROB'!$F$538,IF(L686=3,M686*'Poliof40 - LIVROB'!$F$539,IF(L686=4,M686*'Poliof40 - LIVROB'!$F$540,IF(L686=5,M686*'Poliof40 - LIVROB'!$F$541,0)))))+N685</f>
        <v>0</v>
      </c>
      <c r="O686" s="15"/>
      <c r="P686" s="15"/>
      <c r="Q686" s="15"/>
      <c r="R686" s="15"/>
      <c r="S686" s="15"/>
      <c r="T686" s="15"/>
      <c r="U686" s="15"/>
      <c r="V686" s="15"/>
      <c r="W686" s="222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</row>
    <row r="687" spans="1:33" s="6" customFormat="1" ht="12.75" hidden="1">
      <c r="A687" s="15"/>
      <c r="B687" s="63" t="s">
        <v>267</v>
      </c>
      <c r="C687" s="370"/>
      <c r="D687" s="370"/>
      <c r="E687" s="366">
        <f>IF(C687=1,D687*'Poliof40 - LIVROB'!$F$537,IF(C687=2,D687*'Poliof40 - LIVROB'!$F$538,IF(C687=3,D687*'Poliof40 - LIVROB'!$F$539,IF(C687=4,D687*'Poliof40 - LIVROB'!$F$540,IF(C687=5,D687*'Poliof40 - LIVROB'!$F$541,0)))))+E686</f>
        <v>0</v>
      </c>
      <c r="F687" s="370"/>
      <c r="G687" s="370"/>
      <c r="H687" s="366">
        <f>IF(F687=1,G687*'Poliof40 - LIVROB'!$F$537,IF(F687=2,G687*'Poliof40 - LIVROB'!$F$538,IF(F687=3,G687*'Poliof40 - LIVROB'!$F$539,IF(F687=4,G687*'Poliof40 - LIVROB'!$F$540,IF(F687=5,G687*'Poliof40 - LIVROB'!$F$541,0)))))+H686</f>
        <v>0</v>
      </c>
      <c r="I687" s="370"/>
      <c r="J687" s="370"/>
      <c r="K687" s="366">
        <f>IF(I687=1,J687*'Poliof40 - LIVROB'!$F$537,IF(I687=2,J687*'Poliof40 - LIVROB'!$F$538,IF(I687=3,J687*'Poliof40 - LIVROB'!$F$539,IF(I687=4,J687*'Poliof40 - LIVROB'!$F$540,IF(I687=5,J687*'Poliof40 - LIVROB'!$F$541,0)))))+K686</f>
        <v>0</v>
      </c>
      <c r="L687" s="370"/>
      <c r="M687" s="370"/>
      <c r="N687" s="366">
        <f>IF(L687=1,M687*'Poliof40 - LIVROB'!$F$537,IF(L687=2,M687*'Poliof40 - LIVROB'!$F$538,IF(L687=3,M687*'Poliof40 - LIVROB'!$F$539,IF(L687=4,M687*'Poliof40 - LIVROB'!$F$540,IF(L687=5,M687*'Poliof40 - LIVROB'!$F$541,0)))))+N686</f>
        <v>0</v>
      </c>
      <c r="O687" s="15"/>
      <c r="P687" s="15"/>
      <c r="Q687" s="15"/>
      <c r="R687" s="15"/>
      <c r="S687" s="15"/>
      <c r="T687" s="15"/>
      <c r="U687" s="15"/>
      <c r="V687" s="15"/>
      <c r="W687" s="222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</row>
    <row r="688" spans="1:33" s="6" customFormat="1" ht="12.75" hidden="1">
      <c r="A688" s="15"/>
      <c r="B688" s="64"/>
      <c r="C688" s="370"/>
      <c r="D688" s="370"/>
      <c r="E688" s="366">
        <f>IF(C688=1,D688*'Poliof40 - LIVROB'!$F$537,IF(C688=2,D688*'Poliof40 - LIVROB'!$F$538,IF(C688=3,D688*'Poliof40 - LIVROB'!$F$539,IF(C688=4,D688*'Poliof40 - LIVROB'!$F$540,IF(C688=5,D688*'Poliof40 - LIVROB'!$F$541,0)))))+E687</f>
        <v>0</v>
      </c>
      <c r="F688" s="370"/>
      <c r="G688" s="370"/>
      <c r="H688" s="366">
        <f>IF(F688=1,G688*'Poliof40 - LIVROB'!$F$537,IF(F688=2,G688*'Poliof40 - LIVROB'!$F$538,IF(F688=3,G688*'Poliof40 - LIVROB'!$F$539,IF(F688=4,G688*'Poliof40 - LIVROB'!$F$540,IF(F688=5,G688*'Poliof40 - LIVROB'!$F$541,0)))))+H687</f>
        <v>0</v>
      </c>
      <c r="I688" s="370"/>
      <c r="J688" s="370"/>
      <c r="K688" s="366">
        <f>IF(I688=1,J688*'Poliof40 - LIVROB'!$F$537,IF(I688=2,J688*'Poliof40 - LIVROB'!$F$538,IF(I688=3,J688*'Poliof40 - LIVROB'!$F$539,IF(I688=4,J688*'Poliof40 - LIVROB'!$F$540,IF(I688=5,J688*'Poliof40 - LIVROB'!$F$541,0)))))+K687</f>
        <v>0</v>
      </c>
      <c r="L688" s="370"/>
      <c r="M688" s="370"/>
      <c r="N688" s="366">
        <f>IF(L688=1,M688*'Poliof40 - LIVROB'!$F$537,IF(L688=2,M688*'Poliof40 - LIVROB'!$F$538,IF(L688=3,M688*'Poliof40 - LIVROB'!$F$539,IF(L688=4,M688*'Poliof40 - LIVROB'!$F$540,IF(L688=5,M688*'Poliof40 - LIVROB'!$F$541,0)))))+N687</f>
        <v>0</v>
      </c>
      <c r="O688" s="15"/>
      <c r="P688" s="15"/>
      <c r="Q688" s="15"/>
      <c r="R688" s="15"/>
      <c r="S688" s="15"/>
      <c r="T688" s="15"/>
      <c r="U688" s="15"/>
      <c r="V688" s="15"/>
      <c r="W688" s="222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</row>
    <row r="689" spans="1:33" s="6" customFormat="1" ht="12.75" hidden="1">
      <c r="A689" s="15"/>
      <c r="B689" s="63" t="s">
        <v>268</v>
      </c>
      <c r="C689" s="370"/>
      <c r="D689" s="370"/>
      <c r="E689" s="366">
        <f>IF(C689=1,D689*'Poliof40 - LIVROB'!$F$537,IF(C689=2,D689*'Poliof40 - LIVROB'!$F$538,IF(C689=3,D689*'Poliof40 - LIVROB'!$F$539,IF(C689=4,D689*'Poliof40 - LIVROB'!$F$540,IF(C689=5,D689*'Poliof40 - LIVROB'!$F$541,0)))))+E688</f>
        <v>0</v>
      </c>
      <c r="F689" s="370"/>
      <c r="G689" s="370"/>
      <c r="H689" s="366">
        <f>IF(F689=1,G689*'Poliof40 - LIVROB'!$F$537,IF(F689=2,G689*'Poliof40 - LIVROB'!$F$538,IF(F689=3,G689*'Poliof40 - LIVROB'!$F$539,IF(F689=4,G689*'Poliof40 - LIVROB'!$F$540,IF(F689=5,G689*'Poliof40 - LIVROB'!$F$541,0)))))+H688</f>
        <v>0</v>
      </c>
      <c r="I689" s="370"/>
      <c r="J689" s="370"/>
      <c r="K689" s="366">
        <f>IF(I689=1,J689*'Poliof40 - LIVROB'!$F$537,IF(I689=2,J689*'Poliof40 - LIVROB'!$F$538,IF(I689=3,J689*'Poliof40 - LIVROB'!$F$539,IF(I689=4,J689*'Poliof40 - LIVROB'!$F$540,IF(I689=5,J689*'Poliof40 - LIVROB'!$F$541,0)))))+K688</f>
        <v>0</v>
      </c>
      <c r="L689" s="370"/>
      <c r="M689" s="370"/>
      <c r="N689" s="366">
        <f>IF(L689=1,M689*'Poliof40 - LIVROB'!$F$537,IF(L689=2,M689*'Poliof40 - LIVROB'!$F$538,IF(L689=3,M689*'Poliof40 - LIVROB'!$F$539,IF(L689=4,M689*'Poliof40 - LIVROB'!$F$540,IF(L689=5,M689*'Poliof40 - LIVROB'!$F$541,0)))))+N688</f>
        <v>0</v>
      </c>
      <c r="O689" s="15"/>
      <c r="P689" s="15"/>
      <c r="Q689" s="15"/>
      <c r="R689" s="15"/>
      <c r="S689" s="15"/>
      <c r="T689" s="15"/>
      <c r="U689" s="15"/>
      <c r="V689" s="15"/>
      <c r="W689" s="222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</row>
    <row r="690" spans="1:33" s="6" customFormat="1" ht="12.75" hidden="1">
      <c r="A690" s="15"/>
      <c r="B690" s="61" t="s">
        <v>0</v>
      </c>
      <c r="C690" s="370"/>
      <c r="D690" s="370"/>
      <c r="E690" s="366">
        <f>IF(C690=1,D690*'Poliof40 - LIVROB'!$F$537,IF(C690=2,D690*'Poliof40 - LIVROB'!$F$538,IF(C690=3,D690*'Poliof40 - LIVROB'!$F$539,IF(C690=4,D690*'Poliof40 - LIVROB'!$F$540,IF(C690=5,D690*'Poliof40 - LIVROB'!$F$541,0)))))+E689</f>
        <v>0</v>
      </c>
      <c r="F690" s="370"/>
      <c r="G690" s="370"/>
      <c r="H690" s="366">
        <f>IF(F690=1,G690*'Poliof40 - LIVROB'!$F$537,IF(F690=2,G690*'Poliof40 - LIVROB'!$F$538,IF(F690=3,G690*'Poliof40 - LIVROB'!$F$539,IF(F690=4,G690*'Poliof40 - LIVROB'!$F$540,IF(F690=5,G690*'Poliof40 - LIVROB'!$F$541,0)))))+H689</f>
        <v>0</v>
      </c>
      <c r="I690" s="370"/>
      <c r="J690" s="370"/>
      <c r="K690" s="366">
        <f>IF(I690=1,J690*'Poliof40 - LIVROB'!$F$537,IF(I690=2,J690*'Poliof40 - LIVROB'!$F$538,IF(I690=3,J690*'Poliof40 - LIVROB'!$F$539,IF(I690=4,J690*'Poliof40 - LIVROB'!$F$540,IF(I690=5,J690*'Poliof40 - LIVROB'!$F$541,0)))))+K689</f>
        <v>0</v>
      </c>
      <c r="L690" s="370"/>
      <c r="M690" s="370"/>
      <c r="N690" s="366">
        <f>IF(L690=1,M690*'Poliof40 - LIVROB'!$F$537,IF(L690=2,M690*'Poliof40 - LIVROB'!$F$538,IF(L690=3,M690*'Poliof40 - LIVROB'!$F$539,IF(L690=4,M690*'Poliof40 - LIVROB'!$F$540,IF(L690=5,M690*'Poliof40 - LIVROB'!$F$541,0)))))+N689</f>
        <v>0</v>
      </c>
      <c r="O690" s="15"/>
      <c r="P690" s="15"/>
      <c r="Q690" s="15"/>
      <c r="R690" s="15"/>
      <c r="S690" s="15"/>
      <c r="T690" s="15"/>
      <c r="U690" s="15"/>
      <c r="V690" s="15"/>
      <c r="W690" s="222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</row>
    <row r="691" spans="1:33" s="6" customFormat="1" ht="12.75" hidden="1">
      <c r="A691" s="15"/>
      <c r="B691" s="63" t="s">
        <v>269</v>
      </c>
      <c r="C691" s="370"/>
      <c r="D691" s="370"/>
      <c r="E691" s="366">
        <f>IF(C691=1,D691*'Poliof40 - LIVROB'!$F$537,IF(C691=2,D691*'Poliof40 - LIVROB'!$F$538,IF(C691=3,D691*'Poliof40 - LIVROB'!$F$539,IF(C691=4,D691*'Poliof40 - LIVROB'!$F$540,IF(C691=5,D691*'Poliof40 - LIVROB'!$F$541,0)))))+E690</f>
        <v>0</v>
      </c>
      <c r="F691" s="370"/>
      <c r="G691" s="370"/>
      <c r="H691" s="366">
        <f>IF(F691=1,G691*'Poliof40 - LIVROB'!$F$537,IF(F691=2,G691*'Poliof40 - LIVROB'!$F$538,IF(F691=3,G691*'Poliof40 - LIVROB'!$F$539,IF(F691=4,G691*'Poliof40 - LIVROB'!$F$540,IF(F691=5,G691*'Poliof40 - LIVROB'!$F$541,0)))))+H690</f>
        <v>0</v>
      </c>
      <c r="I691" s="370"/>
      <c r="J691" s="370"/>
      <c r="K691" s="366">
        <f>IF(I691=1,J691*'Poliof40 - LIVROB'!$F$537,IF(I691=2,J691*'Poliof40 - LIVROB'!$F$538,IF(I691=3,J691*'Poliof40 - LIVROB'!$F$539,IF(I691=4,J691*'Poliof40 - LIVROB'!$F$540,IF(I691=5,J691*'Poliof40 - LIVROB'!$F$541,0)))))+K690</f>
        <v>0</v>
      </c>
      <c r="L691" s="370"/>
      <c r="M691" s="370"/>
      <c r="N691" s="366">
        <f>IF(L691=1,M691*'Poliof40 - LIVROB'!$F$537,IF(L691=2,M691*'Poliof40 - LIVROB'!$F$538,IF(L691=3,M691*'Poliof40 - LIVROB'!$F$539,IF(L691=4,M691*'Poliof40 - LIVROB'!$F$540,IF(L691=5,M691*'Poliof40 - LIVROB'!$F$541,0)))))+N690</f>
        <v>0</v>
      </c>
      <c r="O691" s="15"/>
      <c r="P691" s="15"/>
      <c r="Q691" s="15"/>
      <c r="R691" s="15"/>
      <c r="S691" s="15"/>
      <c r="T691" s="15"/>
      <c r="U691" s="15"/>
      <c r="V691" s="15"/>
      <c r="W691" s="222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</row>
    <row r="692" spans="1:33" s="6" customFormat="1" ht="13.5" hidden="1" thickBot="1">
      <c r="A692" s="15"/>
      <c r="B692" s="65"/>
      <c r="C692" s="370"/>
      <c r="D692" s="370"/>
      <c r="E692" s="53">
        <f>IF(C692=1,D692*'Poliof40 - LIVROB'!$F$537,IF(C692=2,D692*'Poliof40 - LIVROB'!$F$538,IF(C692=3,D692*'Poliof40 - LIVROB'!$F$539,IF(C692=4,D692*'Poliof40 - LIVROB'!$F$540,IF(C692=5,D692*'Poliof40 - LIVROB'!$F$541,0)))))+E691</f>
        <v>0</v>
      </c>
      <c r="F692" s="370"/>
      <c r="G692" s="370"/>
      <c r="H692" s="53">
        <f>IF(F692=1,G692*'Poliof40 - LIVROB'!$F$537,IF(F692=2,G692*'Poliof40 - LIVROB'!$F$538,IF(F692=3,G692*'Poliof40 - LIVROB'!$F$539,IF(F692=4,G692*'Poliof40 - LIVROB'!$F$540,IF(F692=5,G692*'Poliof40 - LIVROB'!$F$541,0)))))+H691</f>
        <v>0</v>
      </c>
      <c r="I692" s="370"/>
      <c r="J692" s="370"/>
      <c r="K692" s="53">
        <f>IF(I692=1,J692*'Poliof40 - LIVROB'!$F$537,IF(I692=2,J692*'Poliof40 - LIVROB'!$F$538,IF(I692=3,J692*'Poliof40 - LIVROB'!$F$539,IF(I692=4,J692*'Poliof40 - LIVROB'!$F$540,IF(I692=5,J692*'Poliof40 - LIVROB'!$F$541,0)))))+K691</f>
        <v>0</v>
      </c>
      <c r="L692" s="370"/>
      <c r="M692" s="370"/>
      <c r="N692" s="53">
        <f>IF(L692=1,M692*'Poliof40 - LIVROB'!$F$537,IF(L692=2,M692*'Poliof40 - LIVROB'!$F$538,IF(L692=3,M692*'Poliof40 - LIVROB'!$F$539,IF(L692=4,M692*'Poliof40 - LIVROB'!$F$540,IF(L692=5,M692*'Poliof40 - LIVROB'!$F$541,0)))))+N691</f>
        <v>0</v>
      </c>
      <c r="O692" s="15"/>
      <c r="P692" s="15"/>
      <c r="Q692" s="15"/>
      <c r="R692" s="15"/>
      <c r="S692" s="15"/>
      <c r="T692" s="15"/>
      <c r="U692" s="15"/>
      <c r="V692" s="15"/>
      <c r="W692" s="222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</row>
    <row r="693" spans="1:33" s="6" customFormat="1" ht="14.25" hidden="1" thickBot="1" thickTop="1">
      <c r="A693" s="15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15"/>
      <c r="P693" s="15"/>
      <c r="Q693" s="15"/>
      <c r="R693" s="15"/>
      <c r="S693" s="15"/>
      <c r="T693" s="15"/>
      <c r="U693" s="15"/>
      <c r="V693" s="15"/>
      <c r="W693" s="222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</row>
    <row r="694" spans="1:33" s="6" customFormat="1" ht="18" customHeight="1" hidden="1" thickBot="1" thickTop="1">
      <c r="A694" s="15"/>
      <c r="B694" s="322"/>
      <c r="C694" s="323"/>
      <c r="D694" s="324"/>
      <c r="E694" s="324" t="s">
        <v>270</v>
      </c>
      <c r="F694" s="325">
        <f>MAXA(E692,H692,K692,N692)</f>
        <v>0</v>
      </c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222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</row>
    <row r="695" spans="1:33" s="6" customFormat="1" ht="18" customHeight="1" hidden="1" thickBot="1" thickTop="1">
      <c r="A695" s="15"/>
      <c r="B695" s="326"/>
      <c r="C695" s="326"/>
      <c r="D695" s="327"/>
      <c r="E695" s="327"/>
      <c r="F695" s="326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222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</row>
    <row r="696" spans="1:33" s="6" customFormat="1" ht="13.5" hidden="1" thickTop="1">
      <c r="A696" s="15"/>
      <c r="B696" s="194"/>
      <c r="C696" s="189" t="s">
        <v>271</v>
      </c>
      <c r="D696" s="189"/>
      <c r="E696" s="68"/>
      <c r="F696" s="191" t="s">
        <v>272</v>
      </c>
      <c r="G696" s="68"/>
      <c r="H696" s="191"/>
      <c r="I696" s="198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222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</row>
    <row r="697" spans="1:33" s="6" customFormat="1" ht="12.75" hidden="1">
      <c r="A697" s="15"/>
      <c r="B697" s="195"/>
      <c r="C697" s="190" t="s">
        <v>273</v>
      </c>
      <c r="D697" s="190" t="s">
        <v>274</v>
      </c>
      <c r="E697" s="72"/>
      <c r="F697" s="239" t="s">
        <v>275</v>
      </c>
      <c r="G697" s="72"/>
      <c r="H697" s="192" t="s">
        <v>276</v>
      </c>
      <c r="I697" s="199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222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</row>
    <row r="698" spans="1:33" s="6" customFormat="1" ht="12.75" hidden="1">
      <c r="A698" s="15"/>
      <c r="B698" s="70"/>
      <c r="C698" s="72"/>
      <c r="D698" s="74"/>
      <c r="E698" s="72"/>
      <c r="F698" s="74"/>
      <c r="G698" s="72"/>
      <c r="H698" s="74"/>
      <c r="I698" s="75"/>
      <c r="J698" s="16" t="s">
        <v>0</v>
      </c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222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</row>
    <row r="699" spans="1:33" s="6" customFormat="1" ht="12.75" hidden="1">
      <c r="A699" s="15"/>
      <c r="B699" s="241" t="s">
        <v>277</v>
      </c>
      <c r="C699" s="187">
        <f>IF(AND('Poliof40 - LIVROB'!$G$510=1,'Poliof40 - LIVROB'!$B$942&gt;0),1,0)</f>
        <v>0</v>
      </c>
      <c r="D699" s="186">
        <f>AB699</f>
        <v>0</v>
      </c>
      <c r="E699" s="71"/>
      <c r="F699" s="186">
        <f>AD699</f>
        <v>0</v>
      </c>
      <c r="G699" s="71"/>
      <c r="H699" s="240" t="str">
        <f>IF(AG699=1,"Sim","Não")</f>
        <v>Não</v>
      </c>
      <c r="I699" s="62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222"/>
      <c r="X699" s="15"/>
      <c r="Y699" s="15"/>
      <c r="Z699" s="15"/>
      <c r="AA699" s="15"/>
      <c r="AB699" s="26"/>
      <c r="AC699" s="15"/>
      <c r="AD699" s="26"/>
      <c r="AE699" s="15"/>
      <c r="AF699" s="26"/>
      <c r="AG699" s="119"/>
    </row>
    <row r="700" spans="1:33" s="6" customFormat="1" ht="12.75" hidden="1">
      <c r="A700" s="15"/>
      <c r="B700" s="193"/>
      <c r="C700" s="71"/>
      <c r="D700" s="71"/>
      <c r="E700" s="71"/>
      <c r="F700" s="71"/>
      <c r="G700" s="71"/>
      <c r="H700" s="71"/>
      <c r="I700" s="62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222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</row>
    <row r="701" spans="1:33" s="6" customFormat="1" ht="12.75" hidden="1">
      <c r="A701" s="15"/>
      <c r="B701" s="242" t="s">
        <v>278</v>
      </c>
      <c r="C701" s="187">
        <f>IF('Poliof40 - LIVROB'!$G$510=1,'Poliof40 - LIVROB'!$B$955,0)</f>
        <v>0</v>
      </c>
      <c r="D701" s="186">
        <f>AB701</f>
        <v>0</v>
      </c>
      <c r="E701" s="71"/>
      <c r="F701" s="71"/>
      <c r="G701" s="71"/>
      <c r="H701" s="208"/>
      <c r="I701" s="62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222"/>
      <c r="X701" s="15"/>
      <c r="Y701" s="15"/>
      <c r="Z701" s="15"/>
      <c r="AA701" s="15"/>
      <c r="AB701" s="26"/>
      <c r="AC701" s="15"/>
      <c r="AD701" s="15"/>
      <c r="AE701" s="15"/>
      <c r="AF701" s="15"/>
      <c r="AG701" s="15"/>
    </row>
    <row r="702" spans="1:33" s="6" customFormat="1" ht="13.5" hidden="1" thickBot="1">
      <c r="A702" s="15"/>
      <c r="B702" s="76"/>
      <c r="C702" s="49"/>
      <c r="D702" s="77"/>
      <c r="E702" s="49"/>
      <c r="F702" s="49"/>
      <c r="G702" s="49"/>
      <c r="H702" s="49"/>
      <c r="I702" s="78"/>
      <c r="J702" s="16" t="s">
        <v>0</v>
      </c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222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</row>
    <row r="703" spans="1:33" s="6" customFormat="1" ht="13.5" hidden="1" thickTop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222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</row>
    <row r="704" spans="1:33" s="6" customFormat="1" ht="12.75" hidden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225" t="s">
        <v>0</v>
      </c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</row>
    <row r="705" spans="1:33" s="177" customFormat="1" ht="15.75" hidden="1">
      <c r="A705" s="27"/>
      <c r="B705" s="27"/>
      <c r="C705" s="27"/>
      <c r="D705" s="27"/>
      <c r="E705" s="172" t="s">
        <v>255</v>
      </c>
      <c r="F705" s="176"/>
      <c r="G705" s="176"/>
      <c r="H705" s="176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33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</row>
    <row r="706" spans="1:33" s="177" customFormat="1" ht="15" hidden="1">
      <c r="A706" s="27"/>
      <c r="B706" s="27"/>
      <c r="C706" s="27"/>
      <c r="D706" s="27"/>
      <c r="E706" s="178"/>
      <c r="F706" s="178"/>
      <c r="G706" s="28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33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</row>
    <row r="707" spans="1:33" s="177" customFormat="1" ht="15.75" hidden="1">
      <c r="A707" s="27"/>
      <c r="B707" s="27"/>
      <c r="C707" s="27"/>
      <c r="D707" s="172" t="s">
        <v>279</v>
      </c>
      <c r="E707" s="179"/>
      <c r="F707" s="176"/>
      <c r="G707" s="176"/>
      <c r="H707" s="176"/>
      <c r="I707" s="176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33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</row>
    <row r="708" spans="1:33" s="177" customFormat="1" ht="15" hidden="1">
      <c r="A708" s="27"/>
      <c r="B708" s="27"/>
      <c r="C708" s="27"/>
      <c r="D708" s="27"/>
      <c r="E708" s="171"/>
      <c r="F708" s="28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33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</row>
    <row r="709" spans="1:33" s="177" customFormat="1" ht="15.75" hidden="1">
      <c r="A709" s="27"/>
      <c r="B709" s="27"/>
      <c r="C709" s="27"/>
      <c r="D709" s="27"/>
      <c r="E709" s="172"/>
      <c r="F709" s="388" t="s">
        <v>280</v>
      </c>
      <c r="G709" s="389"/>
      <c r="H709" s="25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33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</row>
    <row r="710" spans="1:33" s="177" customFormat="1" ht="15" hidden="1">
      <c r="A710" s="27"/>
      <c r="B710" s="27"/>
      <c r="C710" s="27"/>
      <c r="D710" s="27"/>
      <c r="E710" s="171"/>
      <c r="F710" s="28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33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</row>
    <row r="711" spans="1:33" s="177" customFormat="1" ht="15.75" hidden="1">
      <c r="A711" s="27"/>
      <c r="B711" s="180"/>
      <c r="C711" s="172" t="s">
        <v>281</v>
      </c>
      <c r="D711" s="176"/>
      <c r="E711" s="176"/>
      <c r="F711" s="176"/>
      <c r="G711" s="176"/>
      <c r="H711" s="176"/>
      <c r="I711" s="176"/>
      <c r="J711" s="176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33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</row>
    <row r="712" spans="1:33" s="6" customFormat="1" ht="13.5" hidden="1" thickBo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222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</row>
    <row r="713" spans="1:33" s="6" customFormat="1" ht="14.25" hidden="1" thickBot="1" thickTop="1">
      <c r="A713" s="15"/>
      <c r="B713" s="36"/>
      <c r="C713" s="37"/>
      <c r="D713" s="38" t="s">
        <v>217</v>
      </c>
      <c r="E713" s="39"/>
      <c r="F713" s="37"/>
      <c r="G713" s="38" t="s">
        <v>218</v>
      </c>
      <c r="H713" s="39"/>
      <c r="I713" s="37"/>
      <c r="J713" s="38" t="s">
        <v>219</v>
      </c>
      <c r="K713" s="39"/>
      <c r="L713" s="37"/>
      <c r="M713" s="38" t="s">
        <v>220</v>
      </c>
      <c r="N713" s="37"/>
      <c r="O713" s="40" t="s">
        <v>221</v>
      </c>
      <c r="P713" s="40" t="s">
        <v>222</v>
      </c>
      <c r="Q713" s="40" t="s">
        <v>232</v>
      </c>
      <c r="R713" s="40" t="s">
        <v>224</v>
      </c>
      <c r="S713" s="40" t="s">
        <v>225</v>
      </c>
      <c r="T713" s="40" t="s">
        <v>226</v>
      </c>
      <c r="U713" s="40" t="s">
        <v>227</v>
      </c>
      <c r="V713" s="41" t="s">
        <v>228</v>
      </c>
      <c r="W713" s="222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</row>
    <row r="714" spans="1:33" s="7" customFormat="1" ht="13.5" hidden="1" thickTop="1">
      <c r="A714" s="16"/>
      <c r="B714" s="42" t="s">
        <v>114</v>
      </c>
      <c r="C714" s="44"/>
      <c r="D714" s="44">
        <f>IF('Poliof40 - LIVROB'!$G$510=2,'Poliof40 - LIVROB'!$C$85,0)</f>
        <v>16</v>
      </c>
      <c r="E714" s="79"/>
      <c r="F714" s="44"/>
      <c r="G714" s="44">
        <f>IF('Poliof40 - LIVROB'!$G$510=2,'Poliof40 - LIVROB'!$D$85,0)</f>
        <v>16</v>
      </c>
      <c r="H714" s="79"/>
      <c r="I714" s="44"/>
      <c r="J714" s="44">
        <f>IF('Poliof40 - LIVROB'!$G$510=2,'Poliof40 - LIVROB'!$E$85,0)</f>
        <v>11</v>
      </c>
      <c r="K714" s="79"/>
      <c r="L714" s="44"/>
      <c r="M714" s="44">
        <f>IF('Poliof40 - LIVROB'!$G$510=2,'Poliof40 - LIVROB'!$F$85,0)</f>
        <v>11</v>
      </c>
      <c r="N714" s="44"/>
      <c r="O714" s="46">
        <f>IF('Poliof40 - LIVROB'!$G$510=2,'Poliof40 - LIVROB'!$G$85,0)</f>
        <v>16</v>
      </c>
      <c r="P714" s="46">
        <f>IF('Poliof40 - LIVROB'!$G$510=2,'Poliof40 - LIVROB'!$H$85,0)</f>
        <v>16</v>
      </c>
      <c r="Q714" s="46">
        <f>IF('Poliof40 - LIVROB'!$G$510=2,'Poliof40 - LIVROB'!$I$85,0)</f>
        <v>11</v>
      </c>
      <c r="R714" s="46">
        <f>IF('Poliof40 - LIVROB'!$G$510=2,'Poliof40 - LIVROB'!$J$85,0)</f>
        <v>16</v>
      </c>
      <c r="S714" s="46">
        <f>IF('Poliof40 - LIVROB'!$G$510=2,'Poliof40 - LIVROB'!$K$85,0)</f>
        <v>16</v>
      </c>
      <c r="T714" s="46">
        <f>IF('Poliof40 - LIVROB'!$G$510=2,'Poliof40 - LIVROB'!$L$85,0)</f>
        <v>16</v>
      </c>
      <c r="U714" s="46">
        <f>IF('Poliof40 - LIVROB'!$G$510=2,'Poliof40 - LIVROB'!$M$85,0)</f>
        <v>16</v>
      </c>
      <c r="V714" s="47">
        <f>IF('Poliof40 - LIVROB'!$G$510=2,'Poliof40 - LIVROB'!$N$85,0)</f>
        <v>11</v>
      </c>
      <c r="W714" s="225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</row>
    <row r="715" spans="1:33" s="7" customFormat="1" ht="13.5" hidden="1" thickBot="1">
      <c r="A715" s="16"/>
      <c r="B715" s="48" t="s">
        <v>115</v>
      </c>
      <c r="C715" s="50"/>
      <c r="D715" s="50">
        <f>IF('Poliof40 - LIVROB'!$G$510=2,'Poliof40 - LIVROB'!$C$92,0)</f>
        <v>5</v>
      </c>
      <c r="E715" s="80"/>
      <c r="F715" s="50"/>
      <c r="G715" s="50">
        <f>IF('Poliof40 - LIVROB'!$G$510=2,'Poliof40 - LIVROB'!$D$92,0)</f>
        <v>5</v>
      </c>
      <c r="H715" s="80"/>
      <c r="I715" s="50"/>
      <c r="J715" s="50">
        <f>IF('Poliof40 - LIVROB'!$G$510=2,'Poliof40 - LIVROB'!$E$92,0)</f>
        <v>5</v>
      </c>
      <c r="K715" s="80"/>
      <c r="L715" s="50"/>
      <c r="M715" s="50">
        <f>IF('Poliof40 - LIVROB'!$G$510=2,'Poliof40 - LIVROB'!$F$92,0)</f>
        <v>5</v>
      </c>
      <c r="N715" s="50"/>
      <c r="O715" s="52">
        <f>IF('Poliof40 - LIVROB'!$G$510=2,'Poliof40 - LIVROB'!$G$92,0)</f>
        <v>6</v>
      </c>
      <c r="P715" s="52">
        <f>IF('Poliof40 - LIVROB'!$G$510=2,'Poliof40 - LIVROB'!$H$92,0)</f>
        <v>6</v>
      </c>
      <c r="Q715" s="52">
        <f>IF('Poliof40 - LIVROB'!$G$510=2,'Poliof40 - LIVROB'!$I$92,0)</f>
        <v>6</v>
      </c>
      <c r="R715" s="52">
        <f>IF('Poliof40 - LIVROB'!$G$510=2,'Poliof40 - LIVROB'!$J$92,0)</f>
        <v>8</v>
      </c>
      <c r="S715" s="52">
        <f>IF('Poliof40 - LIVROB'!$G$510=2,'Poliof40 - LIVROB'!$K$92,0)</f>
        <v>8</v>
      </c>
      <c r="T715" s="52">
        <f>IF('Poliof40 - LIVROB'!$G$510=2,'Poliof40 - LIVROB'!$L$92,0)</f>
        <v>8</v>
      </c>
      <c r="U715" s="52">
        <f>IF('Poliof40 - LIVROB'!$G$510=2,'Poliof40 - LIVROB'!$M$92,0)</f>
        <v>8</v>
      </c>
      <c r="V715" s="53">
        <f>IF('Poliof40 - LIVROB'!$G$510=2,'Poliof40 - LIVROB'!$N$92,0)</f>
        <v>8</v>
      </c>
      <c r="W715" s="225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</row>
    <row r="716" spans="1:33" s="6" customFormat="1" ht="14.25" hidden="1" thickBot="1" thickTop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222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</row>
    <row r="717" spans="1:33" s="6" customFormat="1" ht="14.25" hidden="1" thickBot="1" thickTop="1">
      <c r="A717" s="15"/>
      <c r="B717" s="55" t="s">
        <v>257</v>
      </c>
      <c r="C717" s="56" t="s">
        <v>258</v>
      </c>
      <c r="D717" s="57"/>
      <c r="E717" s="58"/>
      <c r="F717" s="56" t="s">
        <v>259</v>
      </c>
      <c r="G717" s="57"/>
      <c r="H717" s="58"/>
      <c r="I717" s="56" t="s">
        <v>260</v>
      </c>
      <c r="J717" s="57"/>
      <c r="K717" s="58"/>
      <c r="L717" s="59" t="s">
        <v>261</v>
      </c>
      <c r="M717" s="57"/>
      <c r="N717" s="60"/>
      <c r="O717" s="16" t="s">
        <v>0</v>
      </c>
      <c r="P717" s="15"/>
      <c r="Q717" s="15"/>
      <c r="R717" s="15"/>
      <c r="S717" s="15"/>
      <c r="T717" s="15"/>
      <c r="U717" s="15"/>
      <c r="V717" s="15"/>
      <c r="W717" s="222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</row>
    <row r="718" spans="1:33" s="6" customFormat="1" ht="26.25" customHeight="1" hidden="1" thickTop="1">
      <c r="A718" s="15"/>
      <c r="B718" s="61"/>
      <c r="C718" s="367" t="s">
        <v>262</v>
      </c>
      <c r="D718" s="368" t="s">
        <v>263</v>
      </c>
      <c r="E718" s="238" t="s">
        <v>264</v>
      </c>
      <c r="F718" s="367" t="s">
        <v>262</v>
      </c>
      <c r="G718" s="369" t="s">
        <v>263</v>
      </c>
      <c r="H718" s="238" t="s">
        <v>264</v>
      </c>
      <c r="I718" s="367" t="s">
        <v>262</v>
      </c>
      <c r="J718" s="369" t="s">
        <v>263</v>
      </c>
      <c r="K718" s="238" t="s">
        <v>264</v>
      </c>
      <c r="L718" s="367" t="s">
        <v>262</v>
      </c>
      <c r="M718" s="369" t="s">
        <v>263</v>
      </c>
      <c r="N718" s="238" t="s">
        <v>264</v>
      </c>
      <c r="O718" s="15"/>
      <c r="P718" s="15"/>
      <c r="Q718" s="15"/>
      <c r="R718" s="15"/>
      <c r="S718" s="15"/>
      <c r="T718" s="15"/>
      <c r="U718" s="15"/>
      <c r="V718" s="15"/>
      <c r="W718" s="222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</row>
    <row r="719" spans="1:33" s="6" customFormat="1" ht="12.75" hidden="1">
      <c r="A719" s="15"/>
      <c r="B719" s="63" t="s">
        <v>265</v>
      </c>
      <c r="C719" s="371">
        <v>1</v>
      </c>
      <c r="D719" s="371">
        <v>8</v>
      </c>
      <c r="E719" s="366">
        <f>IF(C719=1,D719*'Poliof40 - LIVROB'!$F$537,IF(C719=2,D719*'Poliof40 - LIVROB'!$F$538,0))</f>
        <v>12.8</v>
      </c>
      <c r="F719" s="371">
        <v>1</v>
      </c>
      <c r="G719" s="371">
        <v>8</v>
      </c>
      <c r="H719" s="366">
        <f>IF(F719=1,G719*'Poliof40 - LIVROB'!$F$537,IF(F719=2,G719*'Poliof40 - LIVROB'!$F$538,0))</f>
        <v>12.8</v>
      </c>
      <c r="I719" s="371">
        <v>1</v>
      </c>
      <c r="J719" s="371">
        <v>5</v>
      </c>
      <c r="K719" s="366">
        <f>IF(I719=1,J719*'Poliof40 - LIVROB'!$F$537,IF(I719=2,J719*'Poliof40 - LIVROB'!$F$538,0))</f>
        <v>8</v>
      </c>
      <c r="L719" s="371">
        <v>1</v>
      </c>
      <c r="M719" s="371">
        <v>5</v>
      </c>
      <c r="N719" s="366">
        <f>IF(L719=1,M719*'Poliof40 - LIVROB'!$F$537,IF(L719=2,M719*'Poliof40 - LIVROB'!$F$538,0))</f>
        <v>8</v>
      </c>
      <c r="O719" s="15"/>
      <c r="P719" s="15"/>
      <c r="Q719" s="15"/>
      <c r="R719" s="15"/>
      <c r="S719" s="15"/>
      <c r="T719" s="15"/>
      <c r="U719" s="15"/>
      <c r="V719" s="15"/>
      <c r="W719" s="222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</row>
    <row r="720" spans="1:33" s="6" customFormat="1" ht="12.75" hidden="1">
      <c r="A720" s="15"/>
      <c r="B720" s="64"/>
      <c r="C720" s="371">
        <v>2</v>
      </c>
      <c r="D720" s="371">
        <v>5</v>
      </c>
      <c r="E720" s="366">
        <f>IF(C720=1,D720*'Poliof40 - LIVROB'!$F$537,IF(C720=2,D720*'Poliof40 - LIVROB'!$F$538,0))+E719</f>
        <v>26.15</v>
      </c>
      <c r="F720" s="371">
        <v>2</v>
      </c>
      <c r="G720" s="371">
        <v>5</v>
      </c>
      <c r="H720" s="366">
        <f>IF(F720=1,G720*'Poliof40 - LIVROB'!$F$537,IF(F720=2,G720*'Poliof40 - LIVROB'!$F$538,0))+H719</f>
        <v>26.15</v>
      </c>
      <c r="I720" s="371">
        <v>2</v>
      </c>
      <c r="J720" s="371">
        <v>5</v>
      </c>
      <c r="K720" s="366">
        <f>IF(I720=1,J720*'Poliof40 - LIVROB'!$F$537,IF(I720=2,J720*'Poliof40 - LIVROB'!$F$538,0))+K719</f>
        <v>21.35</v>
      </c>
      <c r="L720" s="371">
        <v>2</v>
      </c>
      <c r="M720" s="371">
        <v>5</v>
      </c>
      <c r="N720" s="366">
        <f>IF(L720=1,M720*'Poliof40 - LIVROB'!$F$537,IF(L720=2,M720*'Poliof40 - LIVROB'!$F$538,0))+N719</f>
        <v>21.35</v>
      </c>
      <c r="O720" s="15"/>
      <c r="P720" s="15"/>
      <c r="Q720" s="15"/>
      <c r="R720" s="15"/>
      <c r="S720" s="15"/>
      <c r="T720" s="15"/>
      <c r="U720" s="15"/>
      <c r="V720" s="15"/>
      <c r="W720" s="222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</row>
    <row r="721" spans="1:33" s="6" customFormat="1" ht="12.75" hidden="1">
      <c r="A721" s="15"/>
      <c r="B721" s="63" t="s">
        <v>266</v>
      </c>
      <c r="C721" s="371">
        <v>1</v>
      </c>
      <c r="D721" s="371">
        <v>8</v>
      </c>
      <c r="E721" s="366">
        <f>IF(C721=1,D721*'Poliof40 - LIVROB'!$F$537,IF(C721=2,D721*'Poliof40 - LIVROB'!$F$538,0))+E720</f>
        <v>38.95</v>
      </c>
      <c r="F721" s="371">
        <v>1</v>
      </c>
      <c r="G721" s="371">
        <v>8</v>
      </c>
      <c r="H721" s="366">
        <f>IF(F721=1,G721*'Poliof40 - LIVROB'!$F$537,IF(F721=2,G721*'Poliof40 - LIVROB'!$F$538,0))+H720</f>
        <v>38.95</v>
      </c>
      <c r="I721" s="371">
        <v>1</v>
      </c>
      <c r="J721" s="371">
        <v>6</v>
      </c>
      <c r="K721" s="366">
        <f>IF(I721=1,J721*'Poliof40 - LIVROB'!$F$537,IF(I721=2,J721*'Poliof40 - LIVROB'!$F$538,0))+K720</f>
        <v>30.950000000000003</v>
      </c>
      <c r="L721" s="371">
        <v>1</v>
      </c>
      <c r="M721" s="371">
        <v>6</v>
      </c>
      <c r="N721" s="366">
        <f>IF(L721=1,M721*'Poliof40 - LIVROB'!$F$537,IF(L721=2,M721*'Poliof40 - LIVROB'!$F$538,0))+N720</f>
        <v>30.950000000000003</v>
      </c>
      <c r="O721" s="15"/>
      <c r="P721" s="15"/>
      <c r="Q721" s="15"/>
      <c r="R721" s="15"/>
      <c r="S721" s="15"/>
      <c r="T721" s="15"/>
      <c r="U721" s="15"/>
      <c r="V721" s="15"/>
      <c r="W721" s="222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</row>
    <row r="722" spans="1:33" s="6" customFormat="1" ht="13.5" hidden="1" thickBot="1">
      <c r="A722" s="15"/>
      <c r="B722" s="65"/>
      <c r="C722" s="371"/>
      <c r="D722" s="371"/>
      <c r="E722" s="53">
        <f>IF(C722=1,D722*'Poliof40 - LIVROB'!$F$537,IF(C722=2,D722*'Poliof40 - LIVROB'!$F$538,0))+E721</f>
        <v>38.95</v>
      </c>
      <c r="F722" s="371"/>
      <c r="G722" s="371"/>
      <c r="H722" s="53">
        <f>IF(F722=1,G722*'Poliof40 - LIVROB'!$F$537,IF(F722=2,G722*'Poliof40 - LIVROB'!$F$538,0))+H721</f>
        <v>38.95</v>
      </c>
      <c r="I722" s="371"/>
      <c r="J722" s="371"/>
      <c r="K722" s="53">
        <f>IF(I722=1,J722*'Poliof40 - LIVROB'!$F$537,IF(I722=2,J722*'Poliof40 - LIVROB'!$F$538,0))+K721</f>
        <v>30.950000000000003</v>
      </c>
      <c r="L722" s="371"/>
      <c r="M722" s="371"/>
      <c r="N722" s="53">
        <f>IF(L722=1,M722*'Poliof40 - LIVROB'!$F$537,IF(L722=2,M722*'Poliof40 - LIVROB'!$F$538,0))+N721</f>
        <v>30.950000000000003</v>
      </c>
      <c r="O722" s="15"/>
      <c r="P722" s="15"/>
      <c r="Q722" s="15"/>
      <c r="R722" s="15"/>
      <c r="S722" s="15"/>
      <c r="T722" s="15"/>
      <c r="U722" s="15"/>
      <c r="V722" s="15"/>
      <c r="W722" s="222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</row>
    <row r="723" spans="1:33" s="6" customFormat="1" ht="14.25" hidden="1" thickBot="1" thickTop="1">
      <c r="A723" s="15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15"/>
      <c r="P723" s="15"/>
      <c r="Q723" s="15"/>
      <c r="R723" s="15"/>
      <c r="S723" s="15"/>
      <c r="T723" s="15"/>
      <c r="U723" s="15"/>
      <c r="V723" s="15"/>
      <c r="W723" s="222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</row>
    <row r="724" spans="1:33" s="6" customFormat="1" ht="18" customHeight="1" hidden="1" thickBot="1" thickTop="1">
      <c r="A724" s="15"/>
      <c r="B724" s="322"/>
      <c r="C724" s="323"/>
      <c r="D724" s="324"/>
      <c r="E724" s="324" t="s">
        <v>270</v>
      </c>
      <c r="F724" s="325">
        <f>MAXA(E722,H722,K722,N722)</f>
        <v>38.95</v>
      </c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222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</row>
    <row r="725" spans="1:33" s="6" customFormat="1" ht="14.25" hidden="1" thickBot="1" thickTop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222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</row>
    <row r="726" spans="1:33" s="6" customFormat="1" ht="13.5" hidden="1" thickTop="1">
      <c r="A726" s="15"/>
      <c r="B726" s="67"/>
      <c r="C726" s="189" t="s">
        <v>271</v>
      </c>
      <c r="D726" s="189"/>
      <c r="E726" s="68"/>
      <c r="F726" s="191" t="s">
        <v>272</v>
      </c>
      <c r="G726" s="68"/>
      <c r="H726" s="191"/>
      <c r="I726" s="69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222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</row>
    <row r="727" spans="1:33" s="6" customFormat="1" ht="12.75" hidden="1">
      <c r="A727" s="15"/>
      <c r="B727" s="70"/>
      <c r="C727" s="190" t="s">
        <v>273</v>
      </c>
      <c r="D727" s="190" t="s">
        <v>274</v>
      </c>
      <c r="E727" s="72"/>
      <c r="F727" s="239" t="s">
        <v>275</v>
      </c>
      <c r="G727" s="72"/>
      <c r="H727" s="192" t="s">
        <v>276</v>
      </c>
      <c r="I727" s="73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222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</row>
    <row r="728" spans="1:33" s="6" customFormat="1" ht="12.75" hidden="1">
      <c r="A728" s="15"/>
      <c r="B728" s="70"/>
      <c r="C728" s="188"/>
      <c r="D728" s="71"/>
      <c r="E728" s="72"/>
      <c r="F728" s="74"/>
      <c r="G728" s="72"/>
      <c r="H728" s="74"/>
      <c r="I728" s="75"/>
      <c r="J728" s="16" t="s">
        <v>0</v>
      </c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222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</row>
    <row r="729" spans="1:33" s="6" customFormat="1" ht="12.75" hidden="1">
      <c r="A729" s="15"/>
      <c r="B729" s="241" t="s">
        <v>277</v>
      </c>
      <c r="C729" s="187">
        <f>IF(AND('Poliof40 - LIVROB'!$G$510=2,'Poliof40 - LIVROB'!$C$942&gt;0),1,0)</f>
        <v>1</v>
      </c>
      <c r="D729" s="186">
        <f>AB729</f>
        <v>1</v>
      </c>
      <c r="E729" s="72"/>
      <c r="F729" s="186">
        <f>AD729</f>
        <v>16</v>
      </c>
      <c r="G729" s="72"/>
      <c r="H729" s="387" t="str">
        <f>IF(AG729=1,"Sim","Não")</f>
        <v>Não</v>
      </c>
      <c r="I729" s="73"/>
      <c r="J729" s="16" t="s">
        <v>0</v>
      </c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222"/>
      <c r="X729" s="15"/>
      <c r="Y729" s="15"/>
      <c r="Z729" s="15"/>
      <c r="AA729" s="15"/>
      <c r="AB729" s="26">
        <v>1</v>
      </c>
      <c r="AC729" s="15"/>
      <c r="AD729" s="26">
        <v>16</v>
      </c>
      <c r="AE729" s="15"/>
      <c r="AF729" s="26"/>
      <c r="AG729" s="119">
        <v>2</v>
      </c>
    </row>
    <row r="730" spans="1:33" s="6" customFormat="1" ht="12.75" hidden="1">
      <c r="A730" s="15"/>
      <c r="B730" s="193"/>
      <c r="C730" s="72"/>
      <c r="D730" s="74"/>
      <c r="E730" s="72"/>
      <c r="F730" s="74"/>
      <c r="G730" s="72"/>
      <c r="H730" s="74"/>
      <c r="I730" s="75"/>
      <c r="J730" s="16" t="s">
        <v>0</v>
      </c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222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</row>
    <row r="731" spans="1:33" s="6" customFormat="1" ht="12.75" hidden="1">
      <c r="A731" s="15"/>
      <c r="B731" s="242" t="s">
        <v>278</v>
      </c>
      <c r="C731" s="187">
        <f>IF('Poliof40 - LIVROB'!$G$510=2,'Poliof40 - LIVROB'!$C$955,0)</f>
        <v>1</v>
      </c>
      <c r="D731" s="186">
        <f>AB731</f>
        <v>1</v>
      </c>
      <c r="E731" s="72"/>
      <c r="F731" s="72"/>
      <c r="G731" s="72"/>
      <c r="H731" s="72"/>
      <c r="I731" s="73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222"/>
      <c r="X731" s="15"/>
      <c r="Y731" s="15"/>
      <c r="Z731" s="15"/>
      <c r="AA731" s="15"/>
      <c r="AB731" s="26">
        <v>1</v>
      </c>
      <c r="AC731" s="15"/>
      <c r="AD731" s="15"/>
      <c r="AE731" s="15"/>
      <c r="AF731" s="15"/>
      <c r="AG731" s="15"/>
    </row>
    <row r="732" spans="1:33" s="6" customFormat="1" ht="13.5" hidden="1" thickBot="1">
      <c r="A732" s="15"/>
      <c r="B732" s="76"/>
      <c r="C732" s="49"/>
      <c r="D732" s="77"/>
      <c r="E732" s="49"/>
      <c r="F732" s="49"/>
      <c r="G732" s="49"/>
      <c r="H732" s="49"/>
      <c r="I732" s="78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222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</row>
    <row r="733" spans="1:33" s="6" customFormat="1" ht="13.5" hidden="1" thickTop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222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</row>
    <row r="734" spans="1:33" s="6" customFormat="1" ht="12.75" hidden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222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</row>
    <row r="735" spans="1:33" s="6" customFormat="1" ht="12.75" hidden="1">
      <c r="A735" s="15"/>
      <c r="B735" s="15"/>
      <c r="C735" s="15"/>
      <c r="D735" s="15"/>
      <c r="E735" s="16"/>
      <c r="F735" s="18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222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</row>
    <row r="736" spans="1:33" s="177" customFormat="1" ht="15.75" hidden="1">
      <c r="A736" s="27"/>
      <c r="B736" s="171" t="s">
        <v>0</v>
      </c>
      <c r="C736" s="171" t="s">
        <v>0</v>
      </c>
      <c r="D736" s="27"/>
      <c r="E736" s="172"/>
      <c r="F736" s="388" t="s">
        <v>282</v>
      </c>
      <c r="G736" s="389"/>
      <c r="H736" s="25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33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</row>
    <row r="737" spans="1:33" s="177" customFormat="1" ht="15" hidden="1">
      <c r="A737" s="27"/>
      <c r="B737" s="27"/>
      <c r="C737" s="27"/>
      <c r="D737" s="27"/>
      <c r="E737" s="171"/>
      <c r="F737" s="28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33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</row>
    <row r="738" spans="1:33" s="177" customFormat="1" ht="15.75" hidden="1">
      <c r="A738" s="27"/>
      <c r="B738" s="180"/>
      <c r="C738" s="172" t="s">
        <v>281</v>
      </c>
      <c r="D738" s="176"/>
      <c r="E738" s="176"/>
      <c r="F738" s="176"/>
      <c r="G738" s="176"/>
      <c r="H738" s="176"/>
      <c r="I738" s="176"/>
      <c r="J738" s="176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33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</row>
    <row r="739" spans="1:33" s="6" customFormat="1" ht="13.5" hidden="1" thickBo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222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</row>
    <row r="740" spans="1:33" s="6" customFormat="1" ht="14.25" hidden="1" thickBot="1" thickTop="1">
      <c r="A740" s="15"/>
      <c r="B740" s="36"/>
      <c r="C740" s="37"/>
      <c r="D740" s="38" t="s">
        <v>217</v>
      </c>
      <c r="E740" s="39"/>
      <c r="F740" s="37"/>
      <c r="G740" s="38" t="s">
        <v>218</v>
      </c>
      <c r="H740" s="39"/>
      <c r="I740" s="37"/>
      <c r="J740" s="38" t="s">
        <v>219</v>
      </c>
      <c r="K740" s="39"/>
      <c r="L740" s="37"/>
      <c r="M740" s="38" t="s">
        <v>220</v>
      </c>
      <c r="N740" s="37"/>
      <c r="O740" s="40" t="s">
        <v>221</v>
      </c>
      <c r="P740" s="40" t="s">
        <v>222</v>
      </c>
      <c r="Q740" s="40" t="s">
        <v>232</v>
      </c>
      <c r="R740" s="40" t="s">
        <v>224</v>
      </c>
      <c r="S740" s="40" t="s">
        <v>225</v>
      </c>
      <c r="T740" s="40" t="s">
        <v>226</v>
      </c>
      <c r="U740" s="40" t="s">
        <v>227</v>
      </c>
      <c r="V740" s="41" t="s">
        <v>228</v>
      </c>
      <c r="W740" s="222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</row>
    <row r="741" spans="1:33" s="6" customFormat="1" ht="13.5" hidden="1" thickTop="1">
      <c r="A741" s="15"/>
      <c r="B741" s="82" t="s">
        <v>116</v>
      </c>
      <c r="C741" s="83"/>
      <c r="D741" s="83">
        <f>IF('Poliof40 - LIVROB'!$G$510=2,'Poliof40 - LIVROB'!$C$99,0)</f>
        <v>22</v>
      </c>
      <c r="E741" s="84"/>
      <c r="F741" s="83"/>
      <c r="G741" s="83">
        <f>IF('Poliof40 - LIVROB'!$G$510=2,'Poliof40 - LIVROB'!$D$99,0)</f>
        <v>20</v>
      </c>
      <c r="H741" s="84"/>
      <c r="I741" s="83"/>
      <c r="J741" s="83">
        <f>IF('Poliof40 - LIVROB'!$G$510=2,'Poliof40 - LIVROB'!$E$99,0)</f>
        <v>11</v>
      </c>
      <c r="K741" s="84"/>
      <c r="L741" s="83"/>
      <c r="M741" s="83">
        <f>IF('Poliof40 - LIVROB'!$G$510=2,'Poliof40 - LIVROB'!$F$99,0)</f>
        <v>5</v>
      </c>
      <c r="N741" s="84"/>
      <c r="O741" s="84">
        <f>IF('Poliof40 - LIVROB'!$G$510=2,'Poliof40 - LIVROB'!$G$99,0)</f>
        <v>27</v>
      </c>
      <c r="P741" s="84">
        <f>IF('Poliof40 - LIVROB'!$G$510=2,'Poliof40 - LIVROB'!$H$99,0)</f>
        <v>17</v>
      </c>
      <c r="Q741" s="84">
        <f>IF('Poliof40 - LIVROB'!$G$510=2,'Poliof40 - LIVROB'!$I$99,0)</f>
        <v>12</v>
      </c>
      <c r="R741" s="84">
        <f>IF('Poliof40 - LIVROB'!$G$510=2,'Poliof40 - LIVROB'!$J$99,0)</f>
        <v>5</v>
      </c>
      <c r="S741" s="84">
        <f>IF('Poliof40 - LIVROB'!$G$510=2,'Poliof40 - LIVROB'!$K$99,0)</f>
        <v>29</v>
      </c>
      <c r="T741" s="84">
        <f>IF('Poliof40 - LIVROB'!$G$510=2,'Poliof40 - LIVROB'!$L$99,0)</f>
        <v>18</v>
      </c>
      <c r="U741" s="84">
        <f>IF('Poliof40 - LIVROB'!$G$510=2,'Poliof40 - LIVROB'!$M$99,0)</f>
        <v>13</v>
      </c>
      <c r="V741" s="85">
        <f>IF('Poliof40 - LIVROB'!$G$510=2,'Poliof40 - LIVROB'!$N$99,0)</f>
        <v>6</v>
      </c>
      <c r="W741" s="222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</row>
    <row r="742" spans="1:33" s="6" customFormat="1" ht="12.75" hidden="1">
      <c r="A742" s="15"/>
      <c r="B742" s="42" t="s">
        <v>117</v>
      </c>
      <c r="C742" s="44"/>
      <c r="D742" s="44">
        <f>IF('Poliof40 - LIVROB'!$G$510=2,'Poliof40 - LIVROB'!$C$106,0)</f>
        <v>10</v>
      </c>
      <c r="E742" s="79"/>
      <c r="F742" s="44"/>
      <c r="G742" s="44">
        <f>IF('Poliof40 - LIVROB'!$G$510=2,'Poliof40 - LIVROB'!$D$106,0)</f>
        <v>10</v>
      </c>
      <c r="H742" s="79"/>
      <c r="I742" s="44"/>
      <c r="J742" s="44">
        <f>IF('Poliof40 - LIVROB'!$G$510=2,'Poliof40 - LIVROB'!$E$106,0)</f>
        <v>10</v>
      </c>
      <c r="K742" s="79"/>
      <c r="L742" s="44"/>
      <c r="M742" s="44">
        <f>IF('Poliof40 - LIVROB'!$G$510=2,'Poliof40 - LIVROB'!$F$106,0)</f>
        <v>10</v>
      </c>
      <c r="N742" s="79"/>
      <c r="O742" s="79">
        <f>IF('Poliof40 - LIVROB'!$G$510=2,'Poliof40 - LIVROB'!$G$106,0)</f>
        <v>10</v>
      </c>
      <c r="P742" s="79">
        <f>IF('Poliof40 - LIVROB'!$G$510=2,'Poliof40 - LIVROB'!$H$106,0)</f>
        <v>11</v>
      </c>
      <c r="Q742" s="79">
        <f>IF('Poliof40 - LIVROB'!$G$510=2,'Poliof40 - LIVROB'!$I$106,0)</f>
        <v>18</v>
      </c>
      <c r="R742" s="79">
        <f>IF('Poliof40 - LIVROB'!$G$510=2,'Poliof40 - LIVROB'!$J$106,0)</f>
        <v>18</v>
      </c>
      <c r="S742" s="79">
        <f>IF('Poliof40 - LIVROB'!$G$510=2,'Poliof40 - LIVROB'!$K$106,0)</f>
        <v>18</v>
      </c>
      <c r="T742" s="79">
        <f>IF('Poliof40 - LIVROB'!$G$510=2,'Poliof40 - LIVROB'!$L$106,0)</f>
        <v>18</v>
      </c>
      <c r="U742" s="79">
        <f>IF('Poliof40 - LIVROB'!$G$510=2,'Poliof40 - LIVROB'!$M$106,0)</f>
        <v>18</v>
      </c>
      <c r="V742" s="81">
        <f>IF('Poliof40 - LIVROB'!$G$510=2,'Poliof40 - LIVROB'!$N$106,0)</f>
        <v>18</v>
      </c>
      <c r="W742" s="222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</row>
    <row r="743" spans="1:33" s="6" customFormat="1" ht="13.5" hidden="1" thickBot="1">
      <c r="A743" s="15"/>
      <c r="B743" s="48" t="s">
        <v>118</v>
      </c>
      <c r="C743" s="50"/>
      <c r="D743" s="50">
        <f>IF('Poliof40 - LIVROB'!$G$510=2,'Poliof40 - LIVROB'!$C$113,0)</f>
        <v>16</v>
      </c>
      <c r="E743" s="80"/>
      <c r="F743" s="50"/>
      <c r="G743" s="50">
        <f>IF('Poliof40 - LIVROB'!$G$510=2,'Poliof40 - LIVROB'!$D$113,0)</f>
        <v>16</v>
      </c>
      <c r="H743" s="80"/>
      <c r="I743" s="50"/>
      <c r="J743" s="50">
        <f>IF('Poliof40 - LIVROB'!$G$510=2,'Poliof40 - LIVROB'!$E$113,0)</f>
        <v>16</v>
      </c>
      <c r="K743" s="80"/>
      <c r="L743" s="50"/>
      <c r="M743" s="50">
        <f>IF('Poliof40 - LIVROB'!$G$510=2,'Poliof40 - LIVROB'!$F$113,0)</f>
        <v>16</v>
      </c>
      <c r="N743" s="80"/>
      <c r="O743" s="80">
        <f>IF('Poliof40 - LIVROB'!$G$510=2,'Poliof40 - LIVROB'!$G$113,0)</f>
        <v>22</v>
      </c>
      <c r="P743" s="80">
        <f>IF('Poliof40 - LIVROB'!$G$510=2,'Poliof40 - LIVROB'!$H$113,0)</f>
        <v>22</v>
      </c>
      <c r="Q743" s="80">
        <f>IF('Poliof40 - LIVROB'!$G$510=2,'Poliof40 - LIVROB'!$I$113,0)</f>
        <v>22</v>
      </c>
      <c r="R743" s="80">
        <f>IF('Poliof40 - LIVROB'!$G$510=2,'Poliof40 - LIVROB'!$J$113,0)</f>
        <v>22</v>
      </c>
      <c r="S743" s="80">
        <f>IF('Poliof40 - LIVROB'!$G$510=2,'Poliof40 - LIVROB'!$K$113,0)</f>
        <v>22</v>
      </c>
      <c r="T743" s="80">
        <f>IF('Poliof40 - LIVROB'!$G$510=2,'Poliof40 - LIVROB'!$L$113,0)</f>
        <v>22</v>
      </c>
      <c r="U743" s="80">
        <f>IF('Poliof40 - LIVROB'!$G$510=2,'Poliof40 - LIVROB'!$M$113,0)</f>
        <v>22</v>
      </c>
      <c r="V743" s="66">
        <f>IF('Poliof40 - LIVROB'!$G$510=2,'Poliof40 - LIVROB'!$N$113,0)</f>
        <v>22</v>
      </c>
      <c r="W743" s="222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</row>
    <row r="744" spans="1:33" s="6" customFormat="1" ht="14.25" hidden="1" thickBot="1" thickTop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222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</row>
    <row r="745" spans="1:33" s="6" customFormat="1" ht="14.25" hidden="1" thickBot="1" thickTop="1">
      <c r="A745" s="15"/>
      <c r="B745" s="55" t="s">
        <v>257</v>
      </c>
      <c r="C745" s="56" t="s">
        <v>258</v>
      </c>
      <c r="D745" s="57"/>
      <c r="E745" s="58"/>
      <c r="F745" s="56" t="s">
        <v>259</v>
      </c>
      <c r="G745" s="57"/>
      <c r="H745" s="58"/>
      <c r="I745" s="56" t="s">
        <v>260</v>
      </c>
      <c r="J745" s="57"/>
      <c r="K745" s="58"/>
      <c r="L745" s="59" t="s">
        <v>261</v>
      </c>
      <c r="M745" s="57"/>
      <c r="N745" s="60"/>
      <c r="O745" s="15"/>
      <c r="P745" s="15"/>
      <c r="Q745" s="15"/>
      <c r="R745" s="15"/>
      <c r="S745" s="15"/>
      <c r="T745" s="15"/>
      <c r="U745" s="15"/>
      <c r="V745" s="15"/>
      <c r="W745" s="222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</row>
    <row r="746" spans="1:33" s="6" customFormat="1" ht="26.25" customHeight="1" hidden="1" thickTop="1">
      <c r="A746" s="15"/>
      <c r="B746" s="61"/>
      <c r="C746" s="367" t="s">
        <v>262</v>
      </c>
      <c r="D746" s="368" t="s">
        <v>263</v>
      </c>
      <c r="E746" s="238" t="s">
        <v>264</v>
      </c>
      <c r="F746" s="367" t="s">
        <v>262</v>
      </c>
      <c r="G746" s="369" t="s">
        <v>263</v>
      </c>
      <c r="H746" s="238" t="s">
        <v>264</v>
      </c>
      <c r="I746" s="367" t="s">
        <v>262</v>
      </c>
      <c r="J746" s="369" t="s">
        <v>263</v>
      </c>
      <c r="K746" s="238" t="s">
        <v>264</v>
      </c>
      <c r="L746" s="367" t="s">
        <v>262</v>
      </c>
      <c r="M746" s="369" t="s">
        <v>263</v>
      </c>
      <c r="N746" s="238" t="s">
        <v>264</v>
      </c>
      <c r="O746" s="15"/>
      <c r="P746" s="15"/>
      <c r="Q746" s="15"/>
      <c r="R746" s="15"/>
      <c r="S746" s="15"/>
      <c r="T746" s="15"/>
      <c r="U746" s="15"/>
      <c r="V746" s="15"/>
      <c r="W746" s="222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</row>
    <row r="747" spans="1:33" s="6" customFormat="1" ht="12.75" hidden="1">
      <c r="A747" s="15"/>
      <c r="B747" s="63" t="s">
        <v>267</v>
      </c>
      <c r="C747" s="371">
        <v>3</v>
      </c>
      <c r="D747" s="371">
        <v>22</v>
      </c>
      <c r="E747" s="366">
        <f>IF(C747=3,D747*'Poliof40 - LIVROB'!$F$539,IF(C747=4,D747*'Poliof40 - LIVROB'!$F$540,IF(C747=5,D747*'Poliof40 - LIVROB'!$F$541,0)))</f>
        <v>29.48</v>
      </c>
      <c r="F747" s="371">
        <v>3</v>
      </c>
      <c r="G747" s="371">
        <v>20</v>
      </c>
      <c r="H747" s="366">
        <f>IF(F747=3,G747*'Poliof40 - LIVROB'!$F$539,IF(F747=4,G747*'Poliof40 - LIVROB'!$F$540,IF(F747=5,G747*'Poliof40 - LIVROB'!$F$541,0)))</f>
        <v>26.8</v>
      </c>
      <c r="I747" s="371">
        <v>3</v>
      </c>
      <c r="J747" s="371">
        <v>11</v>
      </c>
      <c r="K747" s="366">
        <f>IF(I747=3,J747*'Poliof40 - LIVROB'!$F$539,IF(I747=4,J747*'Poliof40 - LIVROB'!$F$540,IF(I747=5,J747*'Poliof40 - LIVROB'!$F$541,0)))</f>
        <v>14.74</v>
      </c>
      <c r="L747" s="371">
        <v>3</v>
      </c>
      <c r="M747" s="371">
        <v>5</v>
      </c>
      <c r="N747" s="366">
        <f>IF(L747=3,M747*'Poliof40 - LIVROB'!$F$539,IF(L747=4,M747*'Poliof40 - LIVROB'!$F$540,IF(L747=5,M747*'Poliof40 - LIVROB'!$F$541,0)))</f>
        <v>6.7</v>
      </c>
      <c r="O747" s="15"/>
      <c r="P747" s="15"/>
      <c r="Q747" s="15"/>
      <c r="R747" s="15"/>
      <c r="S747" s="15"/>
      <c r="T747" s="15"/>
      <c r="U747" s="15"/>
      <c r="V747" s="15"/>
      <c r="W747" s="222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</row>
    <row r="748" spans="1:33" s="6" customFormat="1" ht="12.75" hidden="1">
      <c r="A748" s="15"/>
      <c r="B748" s="64"/>
      <c r="C748" s="371">
        <v>4</v>
      </c>
      <c r="D748" s="371">
        <v>10</v>
      </c>
      <c r="E748" s="366">
        <f>IF(C748=3,D748*'Poliof40 - LIVROB'!$F$539,IF(C748=4,D748*'Poliof40 - LIVROB'!$F$540,IF(C748=5,D748*'Poliof40 - LIVROB'!$F$541,0)))+E747</f>
        <v>42.88</v>
      </c>
      <c r="F748" s="371">
        <v>4</v>
      </c>
      <c r="G748" s="371">
        <v>10</v>
      </c>
      <c r="H748" s="366">
        <f>IF(F748=3,G748*'Poliof40 - LIVROB'!$F$539,IF(F748=4,G748*'Poliof40 - LIVROB'!$F$540,IF(F748=5,G748*'Poliof40 - LIVROB'!$F$541,0)))+H747</f>
        <v>40.2</v>
      </c>
      <c r="I748" s="371">
        <v>4</v>
      </c>
      <c r="J748" s="371">
        <v>10</v>
      </c>
      <c r="K748" s="366">
        <f>IF(I748=3,J748*'Poliof40 - LIVROB'!$F$539,IF(I748=4,J748*'Poliof40 - LIVROB'!$F$540,IF(I748=5,J748*'Poliof40 - LIVROB'!$F$541,0)))+K747</f>
        <v>28.14</v>
      </c>
      <c r="L748" s="371">
        <v>4</v>
      </c>
      <c r="M748" s="371">
        <v>10</v>
      </c>
      <c r="N748" s="366">
        <f>IF(L748=3,M748*'Poliof40 - LIVROB'!$F$539,IF(L748=4,M748*'Poliof40 - LIVROB'!$F$540,IF(L748=5,M748*'Poliof40 - LIVROB'!$F$541,0)))+N747</f>
        <v>20.1</v>
      </c>
      <c r="O748" s="15"/>
      <c r="P748" s="15"/>
      <c r="Q748" s="15"/>
      <c r="R748" s="15"/>
      <c r="S748" s="15"/>
      <c r="T748" s="15"/>
      <c r="U748" s="15"/>
      <c r="V748" s="15"/>
      <c r="W748" s="222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</row>
    <row r="749" spans="1:33" s="6" customFormat="1" ht="12.75" hidden="1">
      <c r="A749" s="15"/>
      <c r="B749" s="63" t="s">
        <v>268</v>
      </c>
      <c r="C749" s="371">
        <v>5</v>
      </c>
      <c r="D749" s="371">
        <v>16</v>
      </c>
      <c r="E749" s="366">
        <f>IF(C749=3,D749*'Poliof40 - LIVROB'!$F$539,IF(C749=4,D749*'Poliof40 - LIVROB'!$F$540,IF(C749=5,D749*'Poliof40 - LIVROB'!$F$541,0)))+E748</f>
        <v>68.48</v>
      </c>
      <c r="F749" s="371">
        <v>5</v>
      </c>
      <c r="G749" s="371">
        <v>16</v>
      </c>
      <c r="H749" s="366">
        <f>IF(F749=3,G749*'Poliof40 - LIVROB'!$F$539,IF(F749=4,G749*'Poliof40 - LIVROB'!$F$540,IF(F749=5,G749*'Poliof40 - LIVROB'!$F$541,0)))+H748</f>
        <v>65.80000000000001</v>
      </c>
      <c r="I749" s="371">
        <v>5</v>
      </c>
      <c r="J749" s="371">
        <v>16</v>
      </c>
      <c r="K749" s="366">
        <f>IF(I749=3,J749*'Poliof40 - LIVROB'!$F$539,IF(I749=4,J749*'Poliof40 - LIVROB'!$F$540,IF(I749=5,J749*'Poliof40 - LIVROB'!$F$541,0)))+K748</f>
        <v>53.74</v>
      </c>
      <c r="L749" s="371">
        <v>5</v>
      </c>
      <c r="M749" s="371">
        <v>16</v>
      </c>
      <c r="N749" s="366">
        <f>IF(L749=3,M749*'Poliof40 - LIVROB'!$F$539,IF(L749=4,M749*'Poliof40 - LIVROB'!$F$540,IF(L749=5,M749*'Poliof40 - LIVROB'!$F$541,0)))+N748</f>
        <v>45.7</v>
      </c>
      <c r="O749" s="15"/>
      <c r="P749" s="15"/>
      <c r="Q749" s="15"/>
      <c r="R749" s="15"/>
      <c r="S749" s="15"/>
      <c r="T749" s="15"/>
      <c r="U749" s="15"/>
      <c r="V749" s="15"/>
      <c r="W749" s="222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</row>
    <row r="750" spans="1:33" s="6" customFormat="1" ht="12.75" hidden="1">
      <c r="A750" s="15"/>
      <c r="B750" s="61" t="s">
        <v>0</v>
      </c>
      <c r="C750" s="371"/>
      <c r="D750" s="371"/>
      <c r="E750" s="366">
        <f>IF(C750=3,D750*'Poliof40 - LIVROB'!$F$539,IF(C750=4,D750*'Poliof40 - LIVROB'!$F$540,IF(C750=5,D750*'Poliof40 - LIVROB'!$F$541,0)))+E749</f>
        <v>68.48</v>
      </c>
      <c r="F750" s="371"/>
      <c r="G750" s="371"/>
      <c r="H750" s="366">
        <f>IF(F750=3,G750*'Poliof40 - LIVROB'!$F$539,IF(F750=4,G750*'Poliof40 - LIVROB'!$F$540,IF(F750=5,G750*'Poliof40 - LIVROB'!$F$541,0)))+H749</f>
        <v>65.80000000000001</v>
      </c>
      <c r="I750" s="371"/>
      <c r="J750" s="371"/>
      <c r="K750" s="366">
        <f>IF(I750=3,J750*'Poliof40 - LIVROB'!$F$539,IF(I750=4,J750*'Poliof40 - LIVROB'!$F$540,IF(I750=5,J750*'Poliof40 - LIVROB'!$F$541,0)))+K749</f>
        <v>53.74</v>
      </c>
      <c r="L750" s="371"/>
      <c r="M750" s="371"/>
      <c r="N750" s="366">
        <f>IF(L750=3,M750*'Poliof40 - LIVROB'!$F$539,IF(L750=4,M750*'Poliof40 - LIVROB'!$F$540,IF(L750=5,M750*'Poliof40 - LIVROB'!$F$541,0)))+N749</f>
        <v>45.7</v>
      </c>
      <c r="O750" s="15"/>
      <c r="P750" s="15"/>
      <c r="Q750" s="15"/>
      <c r="R750" s="15"/>
      <c r="S750" s="15"/>
      <c r="T750" s="15"/>
      <c r="U750" s="15"/>
      <c r="V750" s="15"/>
      <c r="W750" s="222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</row>
    <row r="751" spans="1:33" s="6" customFormat="1" ht="12.75" hidden="1">
      <c r="A751" s="15"/>
      <c r="B751" s="63" t="s">
        <v>269</v>
      </c>
      <c r="C751" s="371"/>
      <c r="D751" s="371"/>
      <c r="E751" s="366">
        <f>IF(C751=3,D751*'Poliof40 - LIVROB'!$F$539,IF(C751=4,D751*'Poliof40 - LIVROB'!$F$540,IF(C751=5,D751*'Poliof40 - LIVROB'!$F$541,0)))+E750</f>
        <v>68.48</v>
      </c>
      <c r="F751" s="371"/>
      <c r="G751" s="371"/>
      <c r="H751" s="366">
        <f>IF(F751=3,G751*'Poliof40 - LIVROB'!$F$539,IF(F751=4,G751*'Poliof40 - LIVROB'!$F$540,IF(F751=5,G751*'Poliof40 - LIVROB'!$F$541,0)))+H750</f>
        <v>65.80000000000001</v>
      </c>
      <c r="I751" s="371"/>
      <c r="J751" s="371"/>
      <c r="K751" s="366">
        <f>IF(I751=3,J751*'Poliof40 - LIVROB'!$F$539,IF(I751=4,J751*'Poliof40 - LIVROB'!$F$540,IF(I751=5,J751*'Poliof40 - LIVROB'!$F$541,0)))+K750</f>
        <v>53.74</v>
      </c>
      <c r="L751" s="371"/>
      <c r="M751" s="371"/>
      <c r="N751" s="366">
        <f>IF(L751=3,M751*'Poliof40 - LIVROB'!$F$539,IF(L751=4,M751*'Poliof40 - LIVROB'!$F$540,IF(L751=5,M751*'Poliof40 - LIVROB'!$F$541,0)))+N750</f>
        <v>45.7</v>
      </c>
      <c r="O751" s="15"/>
      <c r="P751" s="15"/>
      <c r="Q751" s="15"/>
      <c r="R751" s="15"/>
      <c r="S751" s="15"/>
      <c r="T751" s="15"/>
      <c r="U751" s="15"/>
      <c r="V751" s="15"/>
      <c r="W751" s="222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</row>
    <row r="752" spans="1:33" s="6" customFormat="1" ht="13.5" hidden="1" thickBot="1">
      <c r="A752" s="15"/>
      <c r="B752" s="65"/>
      <c r="C752" s="371"/>
      <c r="D752" s="371"/>
      <c r="E752" s="53">
        <f>IF(C752=3,D752*'Poliof40 - LIVROB'!$F$539,IF(C752=4,D752*'Poliof40 - LIVROB'!$F$540,IF(C752=5,D752*'Poliof40 - LIVROB'!$F$541,0)))+E751</f>
        <v>68.48</v>
      </c>
      <c r="F752" s="371"/>
      <c r="G752" s="371"/>
      <c r="H752" s="53">
        <f>IF(F752=3,G752*'Poliof40 - LIVROB'!$F$539,IF(F752=4,G752*'Poliof40 - LIVROB'!$F$540,IF(F752=5,G752*'Poliof40 - LIVROB'!$F$541,0)))+H751</f>
        <v>65.80000000000001</v>
      </c>
      <c r="I752" s="371"/>
      <c r="J752" s="371"/>
      <c r="K752" s="53">
        <f>IF(I752=3,J752*'Poliof40 - LIVROB'!$F$539,IF(I752=4,J752*'Poliof40 - LIVROB'!$F$540,IF(I752=5,J752*'Poliof40 - LIVROB'!$F$541,0)))+K751</f>
        <v>53.74</v>
      </c>
      <c r="L752" s="371"/>
      <c r="M752" s="371"/>
      <c r="N752" s="53">
        <f>IF(L752=3,M752*'Poliof40 - LIVROB'!$F$539,IF(L752=4,M752*'Poliof40 - LIVROB'!$F$540,IF(L752=5,M752*'Poliof40 - LIVROB'!$F$541,0)))+N751</f>
        <v>45.7</v>
      </c>
      <c r="O752" s="15"/>
      <c r="P752" s="15"/>
      <c r="Q752" s="15"/>
      <c r="R752" s="15"/>
      <c r="S752" s="15"/>
      <c r="T752" s="15"/>
      <c r="U752" s="15"/>
      <c r="V752" s="15"/>
      <c r="W752" s="222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</row>
    <row r="753" spans="1:33" s="6" customFormat="1" ht="14.25" hidden="1" thickBot="1" thickTop="1">
      <c r="A753" s="15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15"/>
      <c r="P753" s="15"/>
      <c r="Q753" s="15"/>
      <c r="R753" s="15"/>
      <c r="S753" s="15"/>
      <c r="T753" s="15"/>
      <c r="U753" s="15"/>
      <c r="V753" s="15"/>
      <c r="W753" s="222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</row>
    <row r="754" spans="1:33" s="6" customFormat="1" ht="18" customHeight="1" hidden="1" thickBot="1" thickTop="1">
      <c r="A754" s="15"/>
      <c r="B754" s="322"/>
      <c r="C754" s="323"/>
      <c r="D754" s="324"/>
      <c r="E754" s="324" t="s">
        <v>270</v>
      </c>
      <c r="F754" s="325">
        <f>MAXA(E752,H752,K752,N752)</f>
        <v>68.48</v>
      </c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222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</row>
    <row r="755" spans="1:33" s="6" customFormat="1" ht="14.25" hidden="1" thickBot="1" thickTop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222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</row>
    <row r="756" spans="1:33" s="6" customFormat="1" ht="13.5" hidden="1" thickTop="1">
      <c r="A756" s="15"/>
      <c r="B756" s="194"/>
      <c r="C756" s="189" t="s">
        <v>271</v>
      </c>
      <c r="D756" s="189"/>
      <c r="E756" s="68"/>
      <c r="F756" s="191" t="s">
        <v>272</v>
      </c>
      <c r="G756" s="68"/>
      <c r="H756" s="191"/>
      <c r="I756" s="69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222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</row>
    <row r="757" spans="1:33" s="6" customFormat="1" ht="12.75" hidden="1">
      <c r="A757" s="15"/>
      <c r="B757" s="195"/>
      <c r="C757" s="190" t="s">
        <v>273</v>
      </c>
      <c r="D757" s="190" t="s">
        <v>274</v>
      </c>
      <c r="E757" s="72"/>
      <c r="F757" s="239" t="s">
        <v>275</v>
      </c>
      <c r="G757" s="72"/>
      <c r="H757" s="192" t="s">
        <v>276</v>
      </c>
      <c r="I757" s="73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222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</row>
    <row r="758" spans="1:33" s="6" customFormat="1" ht="12.75" hidden="1">
      <c r="A758" s="15"/>
      <c r="B758" s="70"/>
      <c r="C758" s="72"/>
      <c r="D758" s="74"/>
      <c r="E758" s="72"/>
      <c r="F758" s="74"/>
      <c r="G758" s="72"/>
      <c r="H758" s="74"/>
      <c r="I758" s="75"/>
      <c r="J758" s="16" t="s">
        <v>0</v>
      </c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222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</row>
    <row r="759" spans="1:33" s="6" customFormat="1" ht="12.75" hidden="1">
      <c r="A759" s="15"/>
      <c r="B759" s="241" t="s">
        <v>277</v>
      </c>
      <c r="C759" s="187">
        <f>IF(AND('Poliof40 - LIVROB'!$G$510=2,'Poliof40 - LIVROB'!$D$942&gt;0),1,0)</f>
        <v>1</v>
      </c>
      <c r="D759" s="186">
        <f>AB759</f>
        <v>1</v>
      </c>
      <c r="E759" s="72"/>
      <c r="F759" s="186">
        <f>AD759</f>
        <v>16</v>
      </c>
      <c r="G759" s="71"/>
      <c r="H759" s="387" t="str">
        <f>IF(AG759=1,"Sim","Não")</f>
        <v>Não</v>
      </c>
      <c r="I759" s="73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222"/>
      <c r="X759" s="15"/>
      <c r="Y759" s="15"/>
      <c r="Z759" s="15"/>
      <c r="AA759" s="15"/>
      <c r="AB759" s="26">
        <v>1</v>
      </c>
      <c r="AC759" s="15"/>
      <c r="AD759" s="26">
        <v>16</v>
      </c>
      <c r="AE759" s="15"/>
      <c r="AF759" s="26"/>
      <c r="AG759" s="119">
        <v>2</v>
      </c>
    </row>
    <row r="760" spans="1:33" s="6" customFormat="1" ht="12.75" hidden="1">
      <c r="A760" s="15"/>
      <c r="B760" s="193"/>
      <c r="C760" s="71"/>
      <c r="D760" s="71"/>
      <c r="E760" s="72"/>
      <c r="F760" s="74"/>
      <c r="G760" s="72"/>
      <c r="H760" s="74"/>
      <c r="I760" s="75"/>
      <c r="J760" s="16" t="s">
        <v>0</v>
      </c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222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</row>
    <row r="761" spans="1:33" s="6" customFormat="1" ht="12.75" hidden="1">
      <c r="A761" s="15"/>
      <c r="B761" s="242" t="s">
        <v>278</v>
      </c>
      <c r="C761" s="187">
        <f>IF('Poliof40 - LIVROB'!$G$510=2,'Poliof40 - LIVROB'!$D$955,0)</f>
        <v>2</v>
      </c>
      <c r="D761" s="186">
        <f>AB761</f>
        <v>2</v>
      </c>
      <c r="E761" s="72"/>
      <c r="F761" s="72"/>
      <c r="G761" s="72"/>
      <c r="H761" s="72"/>
      <c r="I761" s="73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222"/>
      <c r="X761" s="15"/>
      <c r="Y761" s="15"/>
      <c r="Z761" s="15"/>
      <c r="AA761" s="15"/>
      <c r="AB761" s="26">
        <v>2</v>
      </c>
      <c r="AC761" s="15"/>
      <c r="AD761" s="15"/>
      <c r="AE761" s="15"/>
      <c r="AF761" s="15"/>
      <c r="AG761" s="15"/>
    </row>
    <row r="762" spans="1:33" s="6" customFormat="1" ht="13.5" hidden="1" thickBot="1">
      <c r="A762" s="15"/>
      <c r="B762" s="197"/>
      <c r="C762" s="49"/>
      <c r="D762" s="77"/>
      <c r="E762" s="49"/>
      <c r="F762" s="49"/>
      <c r="G762" s="49"/>
      <c r="H762" s="49"/>
      <c r="I762" s="78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222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</row>
    <row r="763" spans="1:33" s="6" customFormat="1" ht="13.5" hidden="1" thickTop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222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</row>
    <row r="764" spans="1:33" s="6" customFormat="1" ht="12.75" hidden="1">
      <c r="A764" s="15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222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</row>
    <row r="765" spans="1:33" s="6" customFormat="1" ht="12.75" hidden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222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</row>
    <row r="766" spans="1:33" s="6" customFormat="1" ht="12.75" hidden="1">
      <c r="A766" s="15"/>
      <c r="B766" s="15"/>
      <c r="C766" s="15"/>
      <c r="D766" s="15"/>
      <c r="E766" s="17"/>
      <c r="F766" s="17"/>
      <c r="G766" s="18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222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</row>
    <row r="767" spans="1:33" s="6" customFormat="1" ht="18" hidden="1">
      <c r="A767" s="15"/>
      <c r="B767" s="15"/>
      <c r="C767" s="15"/>
      <c r="D767" s="15"/>
      <c r="E767" s="270" t="s">
        <v>283</v>
      </c>
      <c r="F767" s="268"/>
      <c r="G767" s="268"/>
      <c r="H767" s="271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222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</row>
    <row r="768" spans="1:33" s="6" customFormat="1" ht="12.75" hidden="1">
      <c r="A768" s="15"/>
      <c r="B768" s="15"/>
      <c r="C768" s="15"/>
      <c r="D768" s="15"/>
      <c r="E768" s="17"/>
      <c r="F768" s="17"/>
      <c r="G768" s="18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225" t="s">
        <v>0</v>
      </c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</row>
    <row r="769" spans="1:33" s="6" customFormat="1" ht="12.75" hidden="1">
      <c r="A769" s="15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222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</row>
    <row r="770" spans="1:33" s="177" customFormat="1" ht="15.75" hidden="1">
      <c r="A770" s="27"/>
      <c r="B770" s="181"/>
      <c r="C770" s="209" t="s">
        <v>284</v>
      </c>
      <c r="D770" s="176"/>
      <c r="E770" s="176"/>
      <c r="F770" s="176"/>
      <c r="G770" s="176"/>
      <c r="H770" s="176"/>
      <c r="I770" s="176"/>
      <c r="J770" s="176"/>
      <c r="K770" s="171"/>
      <c r="L770" s="171"/>
      <c r="M770" s="171"/>
      <c r="N770" s="27"/>
      <c r="O770" s="27"/>
      <c r="P770" s="27"/>
      <c r="Q770" s="27"/>
      <c r="R770" s="27"/>
      <c r="S770" s="27"/>
      <c r="T770" s="27"/>
      <c r="U770" s="27"/>
      <c r="V770" s="27"/>
      <c r="W770" s="233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</row>
    <row r="771" spans="1:33" s="177" customFormat="1" ht="15.75" hidden="1">
      <c r="A771" s="27"/>
      <c r="B771" s="181"/>
      <c r="C771" s="172" t="s">
        <v>285</v>
      </c>
      <c r="D771" s="176"/>
      <c r="E771" s="176"/>
      <c r="F771" s="176"/>
      <c r="G771" s="176"/>
      <c r="H771" s="176"/>
      <c r="I771" s="176"/>
      <c r="J771" s="176"/>
      <c r="K771" s="171"/>
      <c r="L771" s="171"/>
      <c r="M771" s="171"/>
      <c r="N771" s="27"/>
      <c r="O771" s="27"/>
      <c r="P771" s="27"/>
      <c r="Q771" s="27"/>
      <c r="R771" s="27"/>
      <c r="S771" s="27"/>
      <c r="T771" s="27"/>
      <c r="U771" s="27"/>
      <c r="V771" s="27"/>
      <c r="W771" s="233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</row>
    <row r="772" spans="1:33" s="6" customFormat="1" ht="13.5" hidden="1" thickBot="1">
      <c r="A772" s="15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222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</row>
    <row r="773" spans="1:33" s="6" customFormat="1" ht="14.25" hidden="1" thickBot="1" thickTop="1">
      <c r="A773" s="15"/>
      <c r="B773" s="36"/>
      <c r="C773" s="39" t="s">
        <v>286</v>
      </c>
      <c r="D773" s="57" t="s">
        <v>217</v>
      </c>
      <c r="E773" s="86"/>
      <c r="F773" s="37"/>
      <c r="G773" s="38" t="s">
        <v>218</v>
      </c>
      <c r="H773" s="39"/>
      <c r="I773" s="37"/>
      <c r="J773" s="38" t="s">
        <v>219</v>
      </c>
      <c r="K773" s="39"/>
      <c r="L773" s="37"/>
      <c r="M773" s="38" t="s">
        <v>220</v>
      </c>
      <c r="N773" s="39"/>
      <c r="O773" s="40" t="s">
        <v>221</v>
      </c>
      <c r="P773" s="40" t="s">
        <v>222</v>
      </c>
      <c r="Q773" s="40" t="s">
        <v>232</v>
      </c>
      <c r="R773" s="40" t="s">
        <v>224</v>
      </c>
      <c r="S773" s="40" t="s">
        <v>225</v>
      </c>
      <c r="T773" s="40" t="s">
        <v>226</v>
      </c>
      <c r="U773" s="40" t="s">
        <v>227</v>
      </c>
      <c r="V773" s="41" t="s">
        <v>228</v>
      </c>
      <c r="W773" s="222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</row>
    <row r="774" spans="1:33" s="6" customFormat="1" ht="13.5" hidden="1" thickTop="1">
      <c r="A774" s="15"/>
      <c r="B774" s="87" t="s">
        <v>287</v>
      </c>
      <c r="C774" s="88">
        <f>IF('Poliof40 - LIVROB'!$G$511&lt;&gt;3,IF('Poliof40 - LIVROB'!$K$165&gt;0,('Poliof40 - LIVROB'!$C$170+'Poliof40 - LIVROB'!$B$170)/'Poliof40 - LIVROB'!$K$165,0),'Poliof40 - LIVROB'!$C$171+'Poliof40 - LIVROB'!$B$171)</f>
        <v>0</v>
      </c>
      <c r="D774" s="89">
        <f>IF('Poliof40 - LIVROB'!$G$511&lt;&gt;3,IF('Poliof40 - LIVROB'!$K$165&gt;0,('Poliof40 - LIVROB'!$D$170)/'Poliof40 - LIVROB'!$K$165,0),'Poliof40 - LIVROB'!$D$171)</f>
        <v>23.157894736842106</v>
      </c>
      <c r="E774" s="90"/>
      <c r="F774" s="83"/>
      <c r="G774" s="91">
        <f>IF('Poliof40 - LIVROB'!$G$511&lt;&gt;3,IF('Poliof40 - LIVROB'!$K$165&gt;0,('Poliof40 - LIVROB'!$E$170)/'Poliof40 - LIVROB'!$K$165,0),'Poliof40 - LIVROB'!$E$171)</f>
        <v>22.105263157894736</v>
      </c>
      <c r="H774" s="84"/>
      <c r="I774" s="83"/>
      <c r="J774" s="91">
        <f>IF('Poliof40 - LIVROB'!$G$511&lt;&gt;3,IF('Poliof40 - LIVROB'!$K$165&gt;0,('Poliof40 - LIVROB'!$F$170)/'Poliof40 - LIVROB'!$K$165,0),'Poliof40 - LIVROB'!$F$171)</f>
        <v>22.105263157894736</v>
      </c>
      <c r="K774" s="84"/>
      <c r="L774" s="83"/>
      <c r="M774" s="91">
        <f>IF('Poliof40 - LIVROB'!$G$511&lt;&gt;3,IF('Poliof40 - LIVROB'!$K$165&gt;0,('Poliof40 - LIVROB'!$G$170)/'Poliof40 - LIVROB'!$K$165,0),'Poliof40 - LIVROB'!$G$171)</f>
        <v>29.47368421052632</v>
      </c>
      <c r="N774" s="84"/>
      <c r="O774" s="88">
        <f>IF('Poliof40 - LIVROB'!$G$511&lt;&gt;3,IF('Poliof40 - LIVROB'!$K$165&gt;0,('Poliof40 - LIVROB'!$H$170)/'Poliof40 - LIVROB'!$K$165,0),'Poliof40 - LIVROB'!$H$171)</f>
        <v>29.47368421052632</v>
      </c>
      <c r="P774" s="88">
        <f>IF('Poliof40 - LIVROB'!$G$511&lt;&gt;3,IF('Poliof40 - LIVROB'!$K$165&gt;0,('Poliof40 - LIVROB'!$I$170)/'Poliof40 - LIVROB'!$K$165,0),'Poliof40 - LIVROB'!$I$171)</f>
        <v>24.210526315789476</v>
      </c>
      <c r="Q774" s="88">
        <f>IF('Poliof40 - LIVROB'!$G$511&lt;&gt;3,IF('Poliof40 - LIVROB'!$K$165&gt;0,('Poliof40 - LIVROB'!$J$170)/'Poliof40 - LIVROB'!$K$165,0),'Poliof40 - LIVROB'!$J$171)</f>
        <v>33.68421052631579</v>
      </c>
      <c r="R774" s="88">
        <f>IF('Poliof40 - LIVROB'!$G$511&lt;&gt;3,IF('Poliof40 - LIVROB'!$K$165&gt;0,('Poliof40 - LIVROB'!$K$170)/'Poliof40 - LIVROB'!$K$165,0),'Poliof40 - LIVROB'!$K$171)</f>
        <v>33.68421052631579</v>
      </c>
      <c r="S774" s="88">
        <f>IF('Poliof40 - LIVROB'!$G$511&lt;&gt;3,IF('Poliof40 - LIVROB'!$K$165&gt;0,('Poliof40 - LIVROB'!$L$170)/'Poliof40 - LIVROB'!$K$165,0),'Poliof40 - LIVROB'!$L$171)</f>
        <v>33.68421052631579</v>
      </c>
      <c r="T774" s="88">
        <f>IF('Poliof40 - LIVROB'!$G$511&lt;&gt;3,IF('Poliof40 - LIVROB'!$K$165&gt;0,('Poliof40 - LIVROB'!$M$170)/'Poliof40 - LIVROB'!$K$165,0),'Poliof40 - LIVROB'!$M$171)</f>
        <v>33.68421052631579</v>
      </c>
      <c r="U774" s="88">
        <f>IF('Poliof40 - LIVROB'!$G$511&lt;&gt;3,IF('Poliof40 - LIVROB'!$K$165&gt;0,('Poliof40 - LIVROB'!$N$170)/'Poliof40 - LIVROB'!$K$165,0),'Poliof40 - LIVROB'!$N$171)</f>
        <v>28.42105263157895</v>
      </c>
      <c r="V774" s="92">
        <f>IF('Poliof40 - LIVROB'!$G$511&lt;&gt;3,IF('Poliof40 - LIVROB'!$K$165&gt;0,('Poliof40 - LIVROB'!$O$170)/'Poliof40 - LIVROB'!$K$165,0),'Poliof40 - LIVROB'!$O$171)</f>
        <v>0</v>
      </c>
      <c r="W774" s="222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</row>
    <row r="775" spans="1:33" s="6" customFormat="1" ht="13.5" hidden="1" thickBot="1">
      <c r="A775" s="15"/>
      <c r="B775" s="93" t="s">
        <v>288</v>
      </c>
      <c r="C775" s="94">
        <f>IF('Poliof40 - LIVROB'!$G$511&lt;&gt;3,IF('Poliof40 - LIVROB'!$K$173&gt;0,('Poliof40 - LIVROB'!$C$178+'Poliof40 - LIVROB'!$B$178)/'Poliof40 - LIVROB'!$K$173,0),'Poliof40 - LIVROB'!$C$179+'Poliof40 - LIVROB'!$B$179)</f>
        <v>0</v>
      </c>
      <c r="D775" s="95">
        <f>IF('Poliof40 - LIVROB'!$G$511&lt;&gt;3,IF('Poliof40 - LIVROB'!$K$173&gt;0,('Poliof40 - LIVROB'!$D$178)/'Poliof40 - LIVROB'!$K$173,0),'Poliof40 - LIVROB'!$D$179)</f>
        <v>33.68421052631579</v>
      </c>
      <c r="E775" s="96"/>
      <c r="F775" s="50"/>
      <c r="G775" s="97">
        <f>IF('Poliof40 - LIVROB'!$G$511&lt;&gt;3,IF('Poliof40 - LIVROB'!$K$173&gt;0,('Poliof40 - LIVROB'!$E$178)/'Poliof40 - LIVROB'!$K$173,0),'Poliof40 - LIVROB'!$E$179)</f>
        <v>38.94736842105263</v>
      </c>
      <c r="H775" s="80"/>
      <c r="I775" s="50"/>
      <c r="J775" s="97">
        <f>IF('Poliof40 - LIVROB'!$G$511&lt;&gt;3,IF('Poliof40 - LIVROB'!$K$173&gt;0,('Poliof40 - LIVROB'!$F$178)/'Poliof40 - LIVROB'!$K$173,0),'Poliof40 - LIVROB'!$F$179)</f>
        <v>32.631578947368425</v>
      </c>
      <c r="K775" s="80"/>
      <c r="L775" s="50"/>
      <c r="M775" s="97">
        <f>IF('Poliof40 - LIVROB'!$G$511&lt;&gt;3,IF('Poliof40 - LIVROB'!$K$173&gt;0,('Poliof40 - LIVROB'!$G$178)/'Poliof40 - LIVROB'!$K$173,0),'Poliof40 - LIVROB'!$G$179)</f>
        <v>62.10526315789474</v>
      </c>
      <c r="N775" s="80"/>
      <c r="O775" s="94">
        <f>IF('Poliof40 - LIVROB'!$G$511&lt;&gt;3,IF('Poliof40 - LIVROB'!$K$173&gt;0,('Poliof40 - LIVROB'!$H$178)/'Poliof40 - LIVROB'!$K$173,0),'Poliof40 - LIVROB'!$H$179)</f>
        <v>52.631578947368425</v>
      </c>
      <c r="P775" s="94">
        <f>IF('Poliof40 - LIVROB'!$G$511&lt;&gt;3,IF('Poliof40 - LIVROB'!$K$173&gt;0,('Poliof40 - LIVROB'!$I$178)/'Poliof40 - LIVROB'!$K$173,0),'Poliof40 - LIVROB'!$I$179)</f>
        <v>54.73684210526316</v>
      </c>
      <c r="Q775" s="94">
        <f>IF('Poliof40 - LIVROB'!$G$511&lt;&gt;3,IF('Poliof40 - LIVROB'!$K$173&gt;0,('Poliof40 - LIVROB'!$J$178)/'Poliof40 - LIVROB'!$K$173,0),'Poliof40 - LIVROB'!$J$179)</f>
        <v>47.36842105263158</v>
      </c>
      <c r="R775" s="94">
        <f>IF('Poliof40 - LIVROB'!$G$511&lt;&gt;3,IF('Poliof40 - LIVROB'!$K$173&gt;0,('Poliof40 - LIVROB'!$K$178)/'Poliof40 - LIVROB'!$K$173,0),'Poliof40 - LIVROB'!$K$179)</f>
        <v>72.63157894736842</v>
      </c>
      <c r="S775" s="94">
        <f>IF('Poliof40 - LIVROB'!$G$511&lt;&gt;3,IF('Poliof40 - LIVROB'!$K$173&gt;0,('Poliof40 - LIVROB'!$L$178)/'Poliof40 - LIVROB'!$K$173,0),'Poliof40 - LIVROB'!$L$179)</f>
        <v>61.05263157894737</v>
      </c>
      <c r="T775" s="94">
        <f>IF('Poliof40 - LIVROB'!$G$511&lt;&gt;3,IF('Poliof40 - LIVROB'!$K$173&gt;0,('Poliof40 - LIVROB'!$M$178)/'Poliof40 - LIVROB'!$K$173,0),'Poliof40 - LIVROB'!$M$179)</f>
        <v>55.78947368421053</v>
      </c>
      <c r="U775" s="94">
        <f>IF('Poliof40 - LIVROB'!$G$511&lt;&gt;3,IF('Poliof40 - LIVROB'!$K$173&gt;0,('Poliof40 - LIVROB'!$N$178)/'Poliof40 - LIVROB'!$K$173,0),'Poliof40 - LIVROB'!$N$179)</f>
        <v>48.42105263157895</v>
      </c>
      <c r="V775" s="98">
        <f>IF('Poliof40 - LIVROB'!$G$511&lt;&gt;3,IF('Poliof40 - LIVROB'!$K$173&gt;0,('Poliof40 - LIVROB'!$O$178)/'Poliof40 - LIVROB'!$K$173,0),'Poliof40 - LIVROB'!$O$179)</f>
        <v>0</v>
      </c>
      <c r="W775" s="222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</row>
    <row r="776" spans="1:33" s="6" customFormat="1" ht="13.5" hidden="1" thickTop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222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</row>
    <row r="777" spans="1:33" s="6" customFormat="1" ht="12.75" hidden="1">
      <c r="A777" s="15"/>
      <c r="B777" s="15"/>
      <c r="C777" s="15"/>
      <c r="D777" s="173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222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</row>
    <row r="778" spans="1:33" s="177" customFormat="1" ht="15.75" hidden="1">
      <c r="A778" s="27"/>
      <c r="B778" s="27"/>
      <c r="C778" s="28"/>
      <c r="D778" s="28"/>
      <c r="E778" s="172" t="s">
        <v>289</v>
      </c>
      <c r="F778" s="176"/>
      <c r="G778" s="176"/>
      <c r="H778" s="176"/>
      <c r="I778" s="28"/>
      <c r="J778" s="28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33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</row>
    <row r="779" spans="1:33" s="6" customFormat="1" ht="13.5" hidden="1" thickBo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222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</row>
    <row r="780" spans="1:33" s="6" customFormat="1" ht="14.25" hidden="1" thickBot="1" thickTop="1">
      <c r="A780" s="15"/>
      <c r="B780" s="55" t="s">
        <v>257</v>
      </c>
      <c r="C780" s="56" t="s">
        <v>258</v>
      </c>
      <c r="D780" s="57"/>
      <c r="E780" s="58"/>
      <c r="F780" s="56" t="s">
        <v>259</v>
      </c>
      <c r="G780" s="57"/>
      <c r="H780" s="58"/>
      <c r="I780" s="56" t="s">
        <v>260</v>
      </c>
      <c r="J780" s="57"/>
      <c r="K780" s="58"/>
      <c r="L780" s="59" t="s">
        <v>261</v>
      </c>
      <c r="M780" s="57"/>
      <c r="N780" s="60"/>
      <c r="O780" s="15"/>
      <c r="P780" s="15"/>
      <c r="Q780" s="15"/>
      <c r="R780" s="15"/>
      <c r="S780" s="15"/>
      <c r="T780" s="15"/>
      <c r="U780" s="15"/>
      <c r="V780" s="15"/>
      <c r="W780" s="222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</row>
    <row r="781" spans="1:33" s="6" customFormat="1" ht="26.25" customHeight="1" hidden="1" thickTop="1">
      <c r="A781" s="15"/>
      <c r="B781" s="61"/>
      <c r="C781" s="367" t="s">
        <v>290</v>
      </c>
      <c r="D781" s="368" t="s">
        <v>263</v>
      </c>
      <c r="E781" s="238" t="s">
        <v>264</v>
      </c>
      <c r="F781" s="367" t="s">
        <v>290</v>
      </c>
      <c r="G781" s="369" t="s">
        <v>263</v>
      </c>
      <c r="H781" s="238" t="s">
        <v>264</v>
      </c>
      <c r="I781" s="367" t="s">
        <v>290</v>
      </c>
      <c r="J781" s="369" t="s">
        <v>263</v>
      </c>
      <c r="K781" s="238" t="s">
        <v>264</v>
      </c>
      <c r="L781" s="367" t="s">
        <v>290</v>
      </c>
      <c r="M781" s="369" t="s">
        <v>263</v>
      </c>
      <c r="N781" s="238" t="s">
        <v>264</v>
      </c>
      <c r="O781" s="15"/>
      <c r="P781" s="15"/>
      <c r="Q781" s="15"/>
      <c r="R781" s="15"/>
      <c r="S781" s="15"/>
      <c r="T781" s="15"/>
      <c r="U781" s="15"/>
      <c r="V781" s="15"/>
      <c r="W781" s="222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</row>
    <row r="782" spans="1:33" s="6" customFormat="1" ht="12.75" hidden="1">
      <c r="A782" s="15"/>
      <c r="B782" s="61" t="s">
        <v>291</v>
      </c>
      <c r="C782" s="371">
        <v>2</v>
      </c>
      <c r="D782" s="371">
        <v>53</v>
      </c>
      <c r="E782" s="366">
        <f>IF('Poliof40 - LIVROB'!$G$511&lt;&gt;3,IF(C782=1,D782*'Poliof40 - LIVROB'!$F$551,IF(C782=2,D782*'Poliof40 - LIVROB'!$F$552,0)),0)</f>
        <v>70.49000000000001</v>
      </c>
      <c r="F782" s="371">
        <v>1</v>
      </c>
      <c r="G782" s="371">
        <v>22</v>
      </c>
      <c r="H782" s="366">
        <f>IF('Poliof40 - LIVROB'!$G$511&lt;&gt;3,IF(F782=1,G782*'Poliof40 - LIVROB'!$F$551,IF(F782=2,G782*'Poliof40 - LIVROB'!$F$552,0)),0)</f>
        <v>44</v>
      </c>
      <c r="I782" s="371">
        <v>1</v>
      </c>
      <c r="J782" s="371">
        <v>22</v>
      </c>
      <c r="K782" s="366">
        <f>IF('Poliof40 - LIVROB'!$G$511&lt;&gt;3,IF(I782=1,J782*'Poliof40 - LIVROB'!$F$551,IF(I782=2,J782*'Poliof40 - LIVROB'!$F$552,0)),0)</f>
        <v>44</v>
      </c>
      <c r="L782" s="371">
        <v>1</v>
      </c>
      <c r="M782" s="371">
        <v>29</v>
      </c>
      <c r="N782" s="366">
        <f>IF('Poliof40 - LIVROB'!$G$511&lt;&gt;3,IF(L782=1,M782*'Poliof40 - LIVROB'!$F$551,IF(L782=2,M782*'Poliof40 - LIVROB'!$F$552,0)),0)</f>
        <v>58</v>
      </c>
      <c r="O782" s="15"/>
      <c r="P782" s="15"/>
      <c r="Q782" s="15"/>
      <c r="R782" s="15"/>
      <c r="S782" s="15"/>
      <c r="T782" s="15"/>
      <c r="U782" s="15"/>
      <c r="V782" s="15"/>
      <c r="W782" s="222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</row>
    <row r="783" spans="1:33" s="6" customFormat="1" ht="12.75" hidden="1">
      <c r="A783" s="15"/>
      <c r="B783" s="61" t="s">
        <v>0</v>
      </c>
      <c r="C783" s="371">
        <v>1</v>
      </c>
      <c r="D783" s="371">
        <v>24</v>
      </c>
      <c r="E783" s="366">
        <f>IF('Poliof40 - LIVROB'!$G$511&lt;&gt;3,IF(C783=1,D783*'Poliof40 - LIVROB'!$F$551,IF(C783=2,D783*'Poliof40 - LIVROB'!$F$552,0)),0)+E782</f>
        <v>118.49000000000001</v>
      </c>
      <c r="F783" s="371">
        <v>2</v>
      </c>
      <c r="G783" s="371">
        <v>39</v>
      </c>
      <c r="H783" s="366">
        <f>IF('Poliof40 - LIVROB'!$G$511&lt;&gt;3,IF(F783=1,G783*'Poliof40 - LIVROB'!$F$551,IF(F783=2,G783*'Poliof40 - LIVROB'!$F$552,0)),0)+H782</f>
        <v>95.87</v>
      </c>
      <c r="I783" s="371">
        <v>2</v>
      </c>
      <c r="J783" s="371">
        <v>33</v>
      </c>
      <c r="K783" s="366">
        <f>IF('Poliof40 - LIVROB'!$G$511&lt;&gt;3,IF(I783=1,J783*'Poliof40 - LIVROB'!$F$551,IF(I783=2,J783*'Poliof40 - LIVROB'!$F$552,0)),0)+K782</f>
        <v>87.89</v>
      </c>
      <c r="L783" s="371">
        <v>2</v>
      </c>
      <c r="M783" s="371">
        <v>62</v>
      </c>
      <c r="N783" s="366">
        <f>IF('Poliof40 - LIVROB'!$G$511&lt;&gt;3,IF(L783=1,M783*'Poliof40 - LIVROB'!$F$551,IF(L783=2,M783*'Poliof40 - LIVROB'!$F$552,0)),0)+N782</f>
        <v>140.46</v>
      </c>
      <c r="O783" s="15"/>
      <c r="P783" s="15"/>
      <c r="Q783" s="15"/>
      <c r="R783" s="15"/>
      <c r="S783" s="15"/>
      <c r="T783" s="15"/>
      <c r="U783" s="15"/>
      <c r="V783" s="15"/>
      <c r="W783" s="222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</row>
    <row r="784" spans="1:33" s="6" customFormat="1" ht="12.75" hidden="1">
      <c r="A784" s="15"/>
      <c r="B784" s="61" t="s">
        <v>292</v>
      </c>
      <c r="C784" s="371"/>
      <c r="D784" s="371"/>
      <c r="E784" s="366">
        <f>IF('Poliof40 - LIVROB'!$G$511&lt;&gt;3,IF(C784=1,D784*'Poliof40 - LIVROB'!$F$551,IF(C784=2,D784*'Poliof40 - LIVROB'!$F$552,0)),0)+E783</f>
        <v>118.49000000000001</v>
      </c>
      <c r="F784" s="371"/>
      <c r="G784" s="371"/>
      <c r="H784" s="366">
        <f>IF('Poliof40 - LIVROB'!$G$511&lt;&gt;3,IF(F784=1,G784*'Poliof40 - LIVROB'!$F$551,IF(F784=2,G784*'Poliof40 - LIVROB'!$F$552,0)),0)+H783</f>
        <v>95.87</v>
      </c>
      <c r="I784" s="371"/>
      <c r="J784" s="371"/>
      <c r="K784" s="366">
        <f>IF('Poliof40 - LIVROB'!$G$511&lt;&gt;3,IF(I784=1,J784*'Poliof40 - LIVROB'!$F$551,IF(I784=2,J784*'Poliof40 - LIVROB'!$F$552,0)),0)+K783</f>
        <v>87.89</v>
      </c>
      <c r="L784" s="371"/>
      <c r="M784" s="371"/>
      <c r="N784" s="366">
        <f>IF('Poliof40 - LIVROB'!$G$511&lt;&gt;3,IF(L784=1,M784*'Poliof40 - LIVROB'!$F$551,IF(L784=2,M784*'Poliof40 - LIVROB'!$F$552,0)),0)+N783</f>
        <v>140.46</v>
      </c>
      <c r="O784" s="15"/>
      <c r="P784" s="15"/>
      <c r="Q784" s="15"/>
      <c r="R784" s="15"/>
      <c r="S784" s="15"/>
      <c r="T784" s="15"/>
      <c r="U784" s="15"/>
      <c r="V784" s="15"/>
      <c r="W784" s="222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</row>
    <row r="785" spans="1:33" s="6" customFormat="1" ht="13.5" hidden="1" thickBot="1">
      <c r="A785" s="15"/>
      <c r="B785" s="65"/>
      <c r="C785" s="371"/>
      <c r="D785" s="371"/>
      <c r="E785" s="53">
        <f>IF('Poliof40 - LIVROB'!$G$511&lt;&gt;3,IF(C785=1,D785*'Poliof40 - LIVROB'!$F$551,IF(C785=2,D785*'Poliof40 - LIVROB'!$F$552,0)),0)+E784</f>
        <v>118.49000000000001</v>
      </c>
      <c r="F785" s="371"/>
      <c r="G785" s="371"/>
      <c r="H785" s="53">
        <f>IF('Poliof40 - LIVROB'!$G$511&lt;&gt;3,IF(F785=1,G785*'Poliof40 - LIVROB'!$F$551,IF(F785=2,G785*'Poliof40 - LIVROB'!$F$552,0)),0)+H784</f>
        <v>95.87</v>
      </c>
      <c r="I785" s="371"/>
      <c r="J785" s="371"/>
      <c r="K785" s="53">
        <f>IF('Poliof40 - LIVROB'!$G$511&lt;&gt;3,IF(I785=1,J785*'Poliof40 - LIVROB'!$F$551,IF(I785=2,J785*'Poliof40 - LIVROB'!$F$552,0)),0)+K784</f>
        <v>87.89</v>
      </c>
      <c r="L785" s="371"/>
      <c r="M785" s="371"/>
      <c r="N785" s="53">
        <f>IF('Poliof40 - LIVROB'!$G$511&lt;&gt;3,IF(L785=1,M785*'Poliof40 - LIVROB'!$F$551,IF(L785=2,M785*'Poliof40 - LIVROB'!$F$552,0)),0)+N784</f>
        <v>140.46</v>
      </c>
      <c r="O785" s="15"/>
      <c r="P785" s="15"/>
      <c r="Q785" s="15"/>
      <c r="R785" s="15"/>
      <c r="S785" s="15"/>
      <c r="T785" s="15"/>
      <c r="U785" s="15"/>
      <c r="V785" s="15"/>
      <c r="W785" s="222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</row>
    <row r="786" spans="1:33" s="6" customFormat="1" ht="14.25" hidden="1" thickBot="1" thickTop="1">
      <c r="A786" s="15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15"/>
      <c r="P786" s="15"/>
      <c r="Q786" s="15"/>
      <c r="R786" s="15"/>
      <c r="S786" s="15"/>
      <c r="T786" s="15"/>
      <c r="U786" s="15"/>
      <c r="V786" s="15"/>
      <c r="W786" s="222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</row>
    <row r="787" spans="1:33" s="6" customFormat="1" ht="18" customHeight="1" hidden="1" thickBot="1" thickTop="1">
      <c r="A787" s="15"/>
      <c r="B787" s="322"/>
      <c r="C787" s="323"/>
      <c r="D787" s="324"/>
      <c r="E787" s="324" t="s">
        <v>270</v>
      </c>
      <c r="F787" s="325">
        <f>MAXA(E785,H785,K785,N785)</f>
        <v>140.46</v>
      </c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222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</row>
    <row r="788" spans="1:33" s="6" customFormat="1" ht="14.25" hidden="1" thickBot="1" thickTop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222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</row>
    <row r="789" spans="1:33" s="6" customFormat="1" ht="13.5" hidden="1" thickTop="1">
      <c r="A789" s="15"/>
      <c r="B789" s="194"/>
      <c r="C789" s="189" t="s">
        <v>271</v>
      </c>
      <c r="D789" s="189"/>
      <c r="E789" s="68"/>
      <c r="F789" s="191" t="s">
        <v>272</v>
      </c>
      <c r="G789" s="68"/>
      <c r="H789" s="191"/>
      <c r="I789" s="198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222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</row>
    <row r="790" spans="1:33" s="6" customFormat="1" ht="12.75" hidden="1">
      <c r="A790" s="15"/>
      <c r="B790" s="195"/>
      <c r="C790" s="190" t="s">
        <v>273</v>
      </c>
      <c r="D790" s="190" t="s">
        <v>274</v>
      </c>
      <c r="E790" s="72"/>
      <c r="F790" s="239" t="s">
        <v>293</v>
      </c>
      <c r="G790" s="72"/>
      <c r="H790" s="192" t="s">
        <v>276</v>
      </c>
      <c r="I790" s="199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222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</row>
    <row r="791" spans="1:33" s="6" customFormat="1" ht="12.75" hidden="1">
      <c r="A791" s="15"/>
      <c r="B791" s="70"/>
      <c r="C791" s="72"/>
      <c r="D791" s="74"/>
      <c r="E791" s="72"/>
      <c r="F791" s="74"/>
      <c r="G791" s="72"/>
      <c r="H791" s="74"/>
      <c r="I791" s="75"/>
      <c r="J791" s="16" t="s">
        <v>0</v>
      </c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222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</row>
    <row r="792" spans="1:33" s="6" customFormat="1" ht="12.75" hidden="1">
      <c r="A792" s="15"/>
      <c r="B792" s="242" t="s">
        <v>294</v>
      </c>
      <c r="C792" s="187">
        <f>IF('Poliof40 - LIVROB'!$G$511&lt;&gt;3,'Poliof40 - LIVROB'!$E$942,0)</f>
        <v>4</v>
      </c>
      <c r="D792" s="186">
        <f>AB792</f>
        <v>4</v>
      </c>
      <c r="E792" s="71"/>
      <c r="F792" s="186">
        <f>AD792</f>
        <v>16</v>
      </c>
      <c r="G792" s="71"/>
      <c r="H792" s="387" t="str">
        <f>IF(AG792=1,"Sim","Não")</f>
        <v>Não</v>
      </c>
      <c r="I792" s="73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222"/>
      <c r="X792" s="15"/>
      <c r="Y792" s="15"/>
      <c r="Z792" s="15"/>
      <c r="AA792" s="15"/>
      <c r="AB792" s="182">
        <v>4</v>
      </c>
      <c r="AC792" s="15"/>
      <c r="AD792" s="182">
        <v>16</v>
      </c>
      <c r="AE792" s="15"/>
      <c r="AF792" s="182">
        <v>1</v>
      </c>
      <c r="AG792" s="119">
        <v>2</v>
      </c>
    </row>
    <row r="793" spans="1:33" s="6" customFormat="1" ht="12.75" hidden="1">
      <c r="A793" s="15"/>
      <c r="B793" s="193"/>
      <c r="C793" s="71"/>
      <c r="D793" s="71"/>
      <c r="E793" s="71"/>
      <c r="F793" s="71"/>
      <c r="G793" s="71"/>
      <c r="H793" s="71"/>
      <c r="I793" s="75"/>
      <c r="J793" s="16" t="s">
        <v>0</v>
      </c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222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</row>
    <row r="794" spans="1:33" s="6" customFormat="1" ht="12.75" hidden="1">
      <c r="A794" s="15"/>
      <c r="B794" s="242" t="s">
        <v>278</v>
      </c>
      <c r="C794" s="187">
        <f>IF('Poliof40 - LIVROB'!$G$511&lt;&gt;3,'Poliof40 - LIVROB'!$E$955,0)</f>
        <v>1</v>
      </c>
      <c r="D794" s="186">
        <f>AB794</f>
        <v>1</v>
      </c>
      <c r="E794" s="71"/>
      <c r="F794" s="71"/>
      <c r="G794" s="71"/>
      <c r="H794" s="71"/>
      <c r="I794" s="73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222"/>
      <c r="X794" s="15"/>
      <c r="Y794" s="15"/>
      <c r="Z794" s="15"/>
      <c r="AA794" s="15"/>
      <c r="AB794" s="182">
        <v>1</v>
      </c>
      <c r="AC794" s="15"/>
      <c r="AD794" s="15"/>
      <c r="AE794" s="15"/>
      <c r="AF794" s="15"/>
      <c r="AG794" s="15"/>
    </row>
    <row r="795" spans="1:33" s="6" customFormat="1" ht="13.5" hidden="1" thickBot="1">
      <c r="A795" s="15"/>
      <c r="B795" s="197"/>
      <c r="C795" s="50"/>
      <c r="D795" s="50"/>
      <c r="E795" s="50"/>
      <c r="F795" s="50"/>
      <c r="G795" s="50"/>
      <c r="H795" s="50"/>
      <c r="I795" s="78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222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</row>
    <row r="796" spans="1:33" s="6" customFormat="1" ht="13.5" hidden="1" thickTop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222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</row>
    <row r="797" spans="1:33" s="6" customFormat="1" ht="12.75" hidden="1">
      <c r="A797" s="15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222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</row>
    <row r="798" spans="1:33" s="6" customFormat="1" ht="12.75" hidden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222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</row>
    <row r="799" spans="1:33" s="6" customFormat="1" ht="12.75" hidden="1">
      <c r="A799" s="15"/>
      <c r="B799" s="15"/>
      <c r="C799" s="15"/>
      <c r="D799" s="15"/>
      <c r="E799" s="16"/>
      <c r="F799" s="17"/>
      <c r="G799" s="17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222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</row>
    <row r="800" spans="1:33" s="6" customFormat="1" ht="18" hidden="1">
      <c r="A800" s="15"/>
      <c r="B800" s="15"/>
      <c r="C800" s="15"/>
      <c r="D800" s="15"/>
      <c r="E800" s="270" t="s">
        <v>295</v>
      </c>
      <c r="F800" s="268"/>
      <c r="G800" s="268"/>
      <c r="H800" s="271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222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</row>
    <row r="801" spans="1:33" s="6" customFormat="1" ht="12.75" hidden="1">
      <c r="A801" s="15"/>
      <c r="B801" s="15"/>
      <c r="C801" s="15"/>
      <c r="D801" s="15"/>
      <c r="E801" s="16"/>
      <c r="F801" s="17"/>
      <c r="G801" s="17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222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</row>
    <row r="802" spans="1:33" s="6" customFormat="1" ht="12.75" hidden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222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</row>
    <row r="803" spans="1:33" s="177" customFormat="1" ht="15.75" hidden="1">
      <c r="A803" s="27"/>
      <c r="B803" s="180"/>
      <c r="C803" s="209" t="s">
        <v>296</v>
      </c>
      <c r="D803" s="176"/>
      <c r="E803" s="176"/>
      <c r="F803" s="176"/>
      <c r="G803" s="176"/>
      <c r="H803" s="176"/>
      <c r="I803" s="176"/>
      <c r="J803" s="176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33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</row>
    <row r="804" spans="1:33" s="6" customFormat="1" ht="12.75" hidden="1">
      <c r="A804" s="15"/>
      <c r="B804" s="16"/>
      <c r="C804" s="17"/>
      <c r="D804" s="17"/>
      <c r="E804" s="17"/>
      <c r="F804" s="17"/>
      <c r="G804" s="17"/>
      <c r="H804" s="17"/>
      <c r="I804" s="18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222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</row>
    <row r="805" spans="1:33" s="6" customFormat="1" ht="13.5" hidden="1" thickBo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222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</row>
    <row r="806" spans="1:33" s="6" customFormat="1" ht="14.25" hidden="1" thickBot="1" thickTop="1">
      <c r="A806" s="15"/>
      <c r="B806" s="36"/>
      <c r="C806" s="39" t="s">
        <v>286</v>
      </c>
      <c r="D806" s="57" t="s">
        <v>217</v>
      </c>
      <c r="E806" s="86"/>
      <c r="F806" s="37"/>
      <c r="G806" s="38" t="s">
        <v>218</v>
      </c>
      <c r="H806" s="39"/>
      <c r="I806" s="37"/>
      <c r="J806" s="38" t="s">
        <v>219</v>
      </c>
      <c r="K806" s="39"/>
      <c r="L806" s="37"/>
      <c r="M806" s="38" t="s">
        <v>220</v>
      </c>
      <c r="N806" s="39"/>
      <c r="O806" s="40" t="s">
        <v>221</v>
      </c>
      <c r="P806" s="40" t="s">
        <v>222</v>
      </c>
      <c r="Q806" s="40" t="s">
        <v>232</v>
      </c>
      <c r="R806" s="40" t="s">
        <v>224</v>
      </c>
      <c r="S806" s="40" t="s">
        <v>225</v>
      </c>
      <c r="T806" s="40" t="s">
        <v>226</v>
      </c>
      <c r="U806" s="40" t="s">
        <v>227</v>
      </c>
      <c r="V806" s="41" t="s">
        <v>228</v>
      </c>
      <c r="W806" s="222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</row>
    <row r="807" spans="1:33" s="6" customFormat="1" ht="13.5" hidden="1" thickTop="1">
      <c r="A807" s="15"/>
      <c r="B807" s="82" t="s">
        <v>124</v>
      </c>
      <c r="C807" s="99">
        <f>IF('Poliof40 - LIVROB'!$K$181&gt;0,('Poliof40 - LIVROB'!$B$185+'Poliof40 - LIVROB'!$C$185)/'Poliof40 - LIVROB'!$K$181,0)</f>
        <v>0</v>
      </c>
      <c r="D807" s="100">
        <f>IF('Poliof40 - LIVROB'!$K$181&gt;0,('Poliof40 - LIVROB'!$D$185)/'Poliof40 - LIVROB'!$K$181,0)</f>
        <v>17.77777777777778</v>
      </c>
      <c r="E807" s="101"/>
      <c r="F807" s="44"/>
      <c r="G807" s="102">
        <f>IF('Poliof40 - LIVROB'!$K$181&gt;0,('Poliof40 - LIVROB'!$E$185)/'Poliof40 - LIVROB'!$K$181,0)</f>
        <v>12.222222222222221</v>
      </c>
      <c r="H807" s="79"/>
      <c r="I807" s="44"/>
      <c r="J807" s="102">
        <f>IF('Poliof40 - LIVROB'!$K$181&gt;0,('Poliof40 - LIVROB'!$F$185)/'Poliof40 - LIVROB'!$K$181,0)</f>
        <v>12.222222222222221</v>
      </c>
      <c r="K807" s="79"/>
      <c r="L807" s="44"/>
      <c r="M807" s="102">
        <f>IF('Poliof40 - LIVROB'!$K$181&gt;0,('Poliof40 - LIVROB'!$G$185)/'Poliof40 - LIVROB'!$K$181,0)</f>
        <v>17.77777777777778</v>
      </c>
      <c r="N807" s="79" t="s">
        <v>0</v>
      </c>
      <c r="O807" s="99">
        <f>IF('Poliof40 - LIVROB'!$K$181&gt;0,('Poliof40 - LIVROB'!$H$185)/'Poliof40 - LIVROB'!$K$181,0)</f>
        <v>17.77777777777778</v>
      </c>
      <c r="P807" s="99">
        <f>IF('Poliof40 - LIVROB'!$K$181&gt;0,('Poliof40 - LIVROB'!$I$185)/'Poliof40 - LIVROB'!$K$181,0)</f>
        <v>12.222222222222221</v>
      </c>
      <c r="Q807" s="99">
        <f>IF('Poliof40 - LIVROB'!$K$181&gt;0,('Poliof40 - LIVROB'!$J$185)/'Poliof40 - LIVROB'!$K$181,0)</f>
        <v>17.77777777777778</v>
      </c>
      <c r="R807" s="99">
        <f>IF('Poliof40 - LIVROB'!$K$181&gt;0,('Poliof40 - LIVROB'!$K$185)/'Poliof40 - LIVROB'!$K$181,0)</f>
        <v>17.77777777777778</v>
      </c>
      <c r="S807" s="99">
        <f>IF('Poliof40 - LIVROB'!$K$181&gt;0,('Poliof40 - LIVROB'!$L$185)/'Poliof40 - LIVROB'!$K$181,0)</f>
        <v>17.77777777777778</v>
      </c>
      <c r="T807" s="99">
        <f>IF('Poliof40 - LIVROB'!$K$181&gt;0,('Poliof40 - LIVROB'!$M$185)/'Poliof40 - LIVROB'!$K$181,0)</f>
        <v>17.77777777777778</v>
      </c>
      <c r="U807" s="99">
        <f>IF('Poliof40 - LIVROB'!$K$181&gt;0,('Poliof40 - LIVROB'!$N$185)/'Poliof40 - LIVROB'!$K$181,0)</f>
        <v>12.222222222222221</v>
      </c>
      <c r="V807" s="81"/>
      <c r="W807" s="222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</row>
    <row r="808" spans="1:33" s="6" customFormat="1" ht="12.75" hidden="1">
      <c r="A808" s="15"/>
      <c r="B808" s="42" t="s">
        <v>125</v>
      </c>
      <c r="C808" s="99">
        <f>IF('Poliof40 - LIVROB'!$K$188&gt;0,('Poliof40 - LIVROB'!$B$192+'Poliof40 - LIVROB'!$C$192)/'Poliof40 - LIVROB'!$K$188,0)</f>
        <v>0</v>
      </c>
      <c r="D808" s="100">
        <f>IF('Poliof40 - LIVROB'!$K$188&gt;0,('Poliof40 - LIVROB'!$D$192)/'Poliof40 - LIVROB'!$K$188,0)</f>
        <v>8.88888888888889</v>
      </c>
      <c r="E808" s="101"/>
      <c r="F808" s="44"/>
      <c r="G808" s="102">
        <f>IF('Poliof40 - LIVROB'!$K$188&gt;0,('Poliof40 - LIVROB'!$E$192)/'Poliof40 - LIVROB'!$K$188,0)</f>
        <v>11.11111111111111</v>
      </c>
      <c r="H808" s="79"/>
      <c r="I808" s="44"/>
      <c r="J808" s="102">
        <f>IF('Poliof40 - LIVROB'!$K$188&gt;0,('Poliof40 - LIVROB'!$F$192)/'Poliof40 - LIVROB'!$K$188,0)</f>
        <v>11.11111111111111</v>
      </c>
      <c r="K808" s="79"/>
      <c r="L808" s="44"/>
      <c r="M808" s="102">
        <f>IF('Poliof40 - LIVROB'!$K$188&gt;0,('Poliof40 - LIVROB'!$G$192)/'Poliof40 - LIVROB'!$K$188,0)</f>
        <v>13.333333333333332</v>
      </c>
      <c r="N808" s="79" t="s">
        <v>0</v>
      </c>
      <c r="O808" s="99">
        <f>IF('Poliof40 - LIVROB'!$K$188&gt;0,('Poliof40 - LIVROB'!$H$192)/'Poliof40 - LIVROB'!$K$188,0)</f>
        <v>13.333333333333332</v>
      </c>
      <c r="P808" s="99">
        <f>IF('Poliof40 - LIVROB'!$K$188&gt;0,('Poliof40 - LIVROB'!$I$192)/'Poliof40 - LIVROB'!$K$188,0)</f>
        <v>13.333333333333332</v>
      </c>
      <c r="Q808" s="99">
        <f>IF('Poliof40 - LIVROB'!$K$188&gt;0,('Poliof40 - LIVROB'!$J$192)/'Poliof40 - LIVROB'!$K$188,0)</f>
        <v>17.77777777777778</v>
      </c>
      <c r="R808" s="99">
        <f>IF('Poliof40 - LIVROB'!$K$188&gt;0,('Poliof40 - LIVROB'!$K$192)/'Poliof40 - LIVROB'!$K$188,0)</f>
        <v>17.77777777777778</v>
      </c>
      <c r="S808" s="99">
        <f>IF('Poliof40 - LIVROB'!$K$188&gt;0,('Poliof40 - LIVROB'!$L$192)/'Poliof40 - LIVROB'!$K$188,0)</f>
        <v>17.77777777777778</v>
      </c>
      <c r="T808" s="99">
        <f>IF('Poliof40 - LIVROB'!$K$188&gt;0,('Poliof40 - LIVROB'!$M$192)/'Poliof40 - LIVROB'!$K$188,0)</f>
        <v>17.77777777777778</v>
      </c>
      <c r="U808" s="99">
        <f>IF('Poliof40 - LIVROB'!$K$188&gt;0,('Poliof40 - LIVROB'!$N$192)/'Poliof40 - LIVROB'!$K$188,0)</f>
        <v>17.77777777777778</v>
      </c>
      <c r="V808" s="81"/>
      <c r="W808" s="222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</row>
    <row r="809" spans="1:33" s="6" customFormat="1" ht="12.75" hidden="1">
      <c r="A809" s="15"/>
      <c r="B809" s="42" t="s">
        <v>126</v>
      </c>
      <c r="C809" s="99">
        <f>IF('Poliof40 - LIVROB'!$K$195&gt;0,('Poliof40 - LIVROB'!$B$199+'Poliof40 - LIVROB'!$C$199)/'Poliof40 - LIVROB'!$K$195,0)</f>
        <v>0</v>
      </c>
      <c r="D809" s="100">
        <f>IF('Poliof40 - LIVROB'!$K$195&gt;0,('Poliof40 - LIVROB'!$D$199)/'Poliof40 - LIVROB'!$K$195,0)</f>
        <v>16.666666666666668</v>
      </c>
      <c r="E809" s="101"/>
      <c r="F809" s="44"/>
      <c r="G809" s="102">
        <f>IF('Poliof40 - LIVROB'!$K$195&gt;0,('Poliof40 - LIVROB'!$E$199)/'Poliof40 - LIVROB'!$K$195,0)</f>
        <v>12.222222222222221</v>
      </c>
      <c r="H809" s="79"/>
      <c r="I809" s="44"/>
      <c r="J809" s="102">
        <f>IF('Poliof40 - LIVROB'!$K$195&gt;0,('Poliof40 - LIVROB'!$F$199)/'Poliof40 - LIVROB'!$K$195,0)</f>
        <v>5.555555555555555</v>
      </c>
      <c r="K809" s="79"/>
      <c r="L809" s="44"/>
      <c r="M809" s="102">
        <f>IF('Poliof40 - LIVROB'!$K$195&gt;0,('Poliof40 - LIVROB'!$G$199)/'Poliof40 - LIVROB'!$K$195,0)</f>
        <v>30</v>
      </c>
      <c r="N809" s="79" t="s">
        <v>0</v>
      </c>
      <c r="O809" s="99">
        <f>IF('Poliof40 - LIVROB'!$K$195&gt;0,('Poliof40 - LIVROB'!$H$199)/'Poliof40 - LIVROB'!$K$195,0)</f>
        <v>18.88888888888889</v>
      </c>
      <c r="P809" s="99">
        <f>IF('Poliof40 - LIVROB'!$K$195&gt;0,('Poliof40 - LIVROB'!$I$199)/'Poliof40 - LIVROB'!$K$195,0)</f>
        <v>13.333333333333332</v>
      </c>
      <c r="Q809" s="99">
        <f>IF('Poliof40 - LIVROB'!$K$195&gt;0,('Poliof40 - LIVROB'!$J$199)/'Poliof40 - LIVROB'!$K$195,0)</f>
        <v>5.555555555555555</v>
      </c>
      <c r="R809" s="99">
        <f>IF('Poliof40 - LIVROB'!$K$195&gt;0,('Poliof40 - LIVROB'!$K$199)/'Poliof40 - LIVROB'!$K$195,0)</f>
        <v>32.22222222222222</v>
      </c>
      <c r="S809" s="99">
        <f>IF('Poliof40 - LIVROB'!$K$195&gt;0,('Poliof40 - LIVROB'!$L$199)/'Poliof40 - LIVROB'!$K$195,0)</f>
        <v>20</v>
      </c>
      <c r="T809" s="99">
        <f>IF('Poliof40 - LIVROB'!$K$195&gt;0,('Poliof40 - LIVROB'!$M$199)/'Poliof40 - LIVROB'!$K$195,0)</f>
        <v>14.444444444444445</v>
      </c>
      <c r="U809" s="99">
        <f>IF('Poliof40 - LIVROB'!$K$195&gt;0,('Poliof40 - LIVROB'!$N$199)/'Poliof40 - LIVROB'!$K$195,0)</f>
        <v>6.666666666666666</v>
      </c>
      <c r="V809" s="81"/>
      <c r="W809" s="222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</row>
    <row r="810" spans="1:33" s="6" customFormat="1" ht="12.75" hidden="1">
      <c r="A810" s="15"/>
      <c r="B810" s="42" t="s">
        <v>127</v>
      </c>
      <c r="C810" s="99">
        <f>IF('Poliof40 - LIVROB'!$K$202&gt;0,('Poliof40 - LIVROB'!$B$206+'Poliof40 - LIVROB'!$C$206)/'Poliof40 - LIVROB'!$K$202,0)</f>
        <v>0</v>
      </c>
      <c r="D810" s="100">
        <f>IF('Poliof40 - LIVROB'!$K$202&gt;0,('Poliof40 - LIVROB'!$D$206)/'Poliof40 - LIVROB'!$K$202,0)</f>
        <v>22.22222222222222</v>
      </c>
      <c r="E810" s="101"/>
      <c r="F810" s="44"/>
      <c r="G810" s="102">
        <f>IF('Poliof40 - LIVROB'!$K$202&gt;0,('Poliof40 - LIVROB'!$E$206)/'Poliof40 - LIVROB'!$K$202,0)</f>
        <v>22.22222222222222</v>
      </c>
      <c r="H810" s="79"/>
      <c r="I810" s="44"/>
      <c r="J810" s="102">
        <f>IF('Poliof40 - LIVROB'!$K$202&gt;0,('Poliof40 - LIVROB'!$F$206)/'Poliof40 - LIVROB'!$K$202,0)</f>
        <v>22.22222222222222</v>
      </c>
      <c r="K810" s="79"/>
      <c r="L810" s="44"/>
      <c r="M810" s="102">
        <f>IF('Poliof40 - LIVROB'!$K$202&gt;0,('Poliof40 - LIVROB'!$G$206)/'Poliof40 - LIVROB'!$K$202,0)</f>
        <v>22.22222222222222</v>
      </c>
      <c r="N810" s="79" t="s">
        <v>0</v>
      </c>
      <c r="O810" s="99">
        <f>IF('Poliof40 - LIVROB'!$K$202&gt;0,('Poliof40 - LIVROB'!$H$206)/'Poliof40 - LIVROB'!$K$202,0)</f>
        <v>24.444444444444443</v>
      </c>
      <c r="P810" s="99">
        <f>IF('Poliof40 - LIVROB'!$K$202&gt;0,('Poliof40 - LIVROB'!$I$206)/'Poliof40 - LIVROB'!$K$202,0)</f>
        <v>40</v>
      </c>
      <c r="Q810" s="99">
        <f>IF('Poliof40 - LIVROB'!$K$202&gt;0,('Poliof40 - LIVROB'!$J$206)/'Poliof40 - LIVROB'!$K$202,0)</f>
        <v>40</v>
      </c>
      <c r="R810" s="99">
        <f>IF('Poliof40 - LIVROB'!$K$202&gt;0,('Poliof40 - LIVROB'!$K$206)/'Poliof40 - LIVROB'!$K$202,0)</f>
        <v>40</v>
      </c>
      <c r="S810" s="99">
        <f>IF('Poliof40 - LIVROB'!$K$202&gt;0,('Poliof40 - LIVROB'!$L$206)/'Poliof40 - LIVROB'!$K$202,0)</f>
        <v>40</v>
      </c>
      <c r="T810" s="99">
        <f>IF('Poliof40 - LIVROB'!$K$202&gt;0,('Poliof40 - LIVROB'!$M$206)/'Poliof40 - LIVROB'!$K$202,0)</f>
        <v>40</v>
      </c>
      <c r="U810" s="99">
        <f>IF('Poliof40 - LIVROB'!$K$202&gt;0,('Poliof40 - LIVROB'!$N$206)/'Poliof40 - LIVROB'!$K$202,0)</f>
        <v>40</v>
      </c>
      <c r="V810" s="81"/>
      <c r="W810" s="222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</row>
    <row r="811" spans="1:33" s="6" customFormat="1" ht="12.75" hidden="1">
      <c r="A811" s="15"/>
      <c r="B811" s="42" t="s">
        <v>128</v>
      </c>
      <c r="C811" s="99">
        <f>IF('Poliof40 - LIVROB'!$K$209&gt;0,('Poliof40 - LIVROB'!$B$213+'Poliof40 - LIVROB'!$C$213)/'Poliof40 - LIVROB'!$K$209,0)</f>
        <v>0</v>
      </c>
      <c r="D811" s="100">
        <f>IF('Poliof40 - LIVROB'!$K$209&gt;0,('Poliof40 - LIVROB'!$D$213)/'Poliof40 - LIVROB'!$K$209,0)</f>
        <v>12.222222222222221</v>
      </c>
      <c r="E811" s="101"/>
      <c r="F811" s="44"/>
      <c r="G811" s="102">
        <f>IF('Poliof40 - LIVROB'!$K$209&gt;0,('Poliof40 - LIVROB'!$E$213)/'Poliof40 - LIVROB'!$K$209,0)</f>
        <v>17.77777777777778</v>
      </c>
      <c r="H811" s="79"/>
      <c r="I811" s="44"/>
      <c r="J811" s="102">
        <f>IF('Poliof40 - LIVROB'!$K$209&gt;0,('Poliof40 - LIVROB'!$F$213)/'Poliof40 - LIVROB'!$K$209,0)</f>
        <v>17.77777777777778</v>
      </c>
      <c r="K811" s="79"/>
      <c r="L811" s="44"/>
      <c r="M811" s="102">
        <f>IF('Poliof40 - LIVROB'!$K$209&gt;0,('Poliof40 - LIVROB'!$G$213)/'Poliof40 - LIVROB'!$K$209,0)</f>
        <v>24.444444444444443</v>
      </c>
      <c r="N811" s="79" t="s">
        <v>0</v>
      </c>
      <c r="O811" s="99">
        <f>IF('Poliof40 - LIVROB'!$K$209&gt;0,('Poliof40 - LIVROB'!$H$213)/'Poliof40 - LIVROB'!$K$209,0)</f>
        <v>24.444444444444443</v>
      </c>
      <c r="P811" s="99">
        <f>IF('Poliof40 - LIVROB'!$K$209&gt;0,('Poliof40 - LIVROB'!$I$213)/'Poliof40 - LIVROB'!$K$209,0)</f>
        <v>24.444444444444443</v>
      </c>
      <c r="Q811" s="99">
        <f>IF('Poliof40 - LIVROB'!$K$209&gt;0,('Poliof40 - LIVROB'!$J$213)/'Poliof40 - LIVROB'!$K$209,0)</f>
        <v>24.444444444444443</v>
      </c>
      <c r="R811" s="99">
        <f>IF('Poliof40 - LIVROB'!$K$209&gt;0,('Poliof40 - LIVROB'!$K$213)/'Poliof40 - LIVROB'!$K$209,0)</f>
        <v>24.444444444444443</v>
      </c>
      <c r="S811" s="99">
        <f>IF('Poliof40 - LIVROB'!$K$209&gt;0,('Poliof40 - LIVROB'!$L$213)/'Poliof40 - LIVROB'!$K$209,0)</f>
        <v>24.444444444444443</v>
      </c>
      <c r="T811" s="99">
        <f>IF('Poliof40 - LIVROB'!$K$209&gt;0,('Poliof40 - LIVROB'!$M$213)/'Poliof40 - LIVROB'!$K$209,0)</f>
        <v>24.444444444444443</v>
      </c>
      <c r="U811" s="99">
        <f>IF('Poliof40 - LIVROB'!$K$209&gt;0,('Poliof40 - LIVROB'!$N$213)/'Poliof40 - LIVROB'!$K$209,0)</f>
        <v>24.444444444444443</v>
      </c>
      <c r="V811" s="81"/>
      <c r="W811" s="222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</row>
    <row r="812" spans="1:33" s="6" customFormat="1" ht="12.75" hidden="1">
      <c r="A812" s="15"/>
      <c r="B812" s="373" t="s">
        <v>62</v>
      </c>
      <c r="C812" s="374">
        <f>'Poliof40 - LIVROB'!$B$120</f>
        <v>0</v>
      </c>
      <c r="D812" s="375">
        <f>'Poliof40 - LIVROB'!$C$120</f>
        <v>0</v>
      </c>
      <c r="E812" s="376"/>
      <c r="F812" s="377"/>
      <c r="G812" s="377">
        <f>'Poliof40 - LIVROB'!$D$120</f>
        <v>0</v>
      </c>
      <c r="H812" s="374"/>
      <c r="I812" s="377"/>
      <c r="J812" s="377">
        <f>'Poliof40 - LIVROB'!$E$120</f>
        <v>0</v>
      </c>
      <c r="K812" s="374" t="s">
        <v>0</v>
      </c>
      <c r="L812" s="377"/>
      <c r="M812" s="377">
        <f>'Poliof40 - LIVROB'!$F$120</f>
        <v>0</v>
      </c>
      <c r="N812" s="374"/>
      <c r="O812" s="374">
        <f>'Poliof40 - LIVROB'!$G$120</f>
        <v>0</v>
      </c>
      <c r="P812" s="374">
        <f>'Poliof40 - LIVROB'!$H$120</f>
        <v>0</v>
      </c>
      <c r="Q812" s="374">
        <f>'Poliof40 - LIVROB'!$I$120</f>
        <v>0</v>
      </c>
      <c r="R812" s="374">
        <f>'Poliof40 - LIVROB'!$J$120</f>
        <v>0</v>
      </c>
      <c r="S812" s="374">
        <f>'Poliof40 - LIVROB'!$K$120</f>
        <v>0</v>
      </c>
      <c r="T812" s="374">
        <f>'Poliof40 - LIVROB'!$L$120</f>
        <v>0</v>
      </c>
      <c r="U812" s="374">
        <f>'Poliof40 - LIVROB'!$M$120</f>
        <v>0</v>
      </c>
      <c r="V812" s="378">
        <f>'Poliof40 - LIVROB'!$N$120</f>
        <v>0</v>
      </c>
      <c r="W812" s="222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</row>
    <row r="813" spans="1:33" s="6" customFormat="1" ht="13.5" hidden="1" thickBot="1">
      <c r="A813" s="15"/>
      <c r="B813" s="379" t="s">
        <v>63</v>
      </c>
      <c r="C813" s="380">
        <f>'Poliof40 - LIVROB'!$B$127</f>
        <v>0</v>
      </c>
      <c r="D813" s="381">
        <f>'Poliof40 - LIVROB'!$C$127</f>
        <v>0</v>
      </c>
      <c r="E813" s="382"/>
      <c r="F813" s="383"/>
      <c r="G813" s="383">
        <f>'Poliof40 - LIVROB'!$D$127</f>
        <v>0</v>
      </c>
      <c r="H813" s="380"/>
      <c r="I813" s="383"/>
      <c r="J813" s="383">
        <f>'Poliof40 - LIVROB'!$E$127</f>
        <v>0</v>
      </c>
      <c r="K813" s="380" t="s">
        <v>0</v>
      </c>
      <c r="L813" s="383"/>
      <c r="M813" s="383">
        <f>'Poliof40 - LIVROB'!$F$127</f>
        <v>0</v>
      </c>
      <c r="N813" s="380"/>
      <c r="O813" s="380">
        <f>'Poliof40 - LIVROB'!$G$127</f>
        <v>0</v>
      </c>
      <c r="P813" s="380">
        <f>'Poliof40 - LIVROB'!$H$127</f>
        <v>0</v>
      </c>
      <c r="Q813" s="380">
        <f>'Poliof40 - LIVROB'!$I$127</f>
        <v>0</v>
      </c>
      <c r="R813" s="380">
        <f>'Poliof40 - LIVROB'!$J$127</f>
        <v>0</v>
      </c>
      <c r="S813" s="380">
        <f>'Poliof40 - LIVROB'!$K$127</f>
        <v>0</v>
      </c>
      <c r="T813" s="380">
        <f>'Poliof40 - LIVROB'!$L$127</f>
        <v>0</v>
      </c>
      <c r="U813" s="380">
        <f>'Poliof40 - LIVROB'!$M$127</f>
        <v>0</v>
      </c>
      <c r="V813" s="384">
        <f>'Poliof40 - LIVROB'!$N$127</f>
        <v>0</v>
      </c>
      <c r="W813" s="222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</row>
    <row r="814" spans="1:33" s="6" customFormat="1" ht="13.5" hidden="1" thickTop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222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</row>
    <row r="815" spans="1:33" s="6" customFormat="1" ht="12.75" hidden="1">
      <c r="A815" s="15"/>
      <c r="B815" s="15"/>
      <c r="C815" s="15"/>
      <c r="D815" s="114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222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</row>
    <row r="816" spans="1:33" s="177" customFormat="1" ht="15.75" hidden="1">
      <c r="A816" s="27"/>
      <c r="B816" s="27"/>
      <c r="C816" s="27"/>
      <c r="D816" s="172" t="s">
        <v>297</v>
      </c>
      <c r="E816" s="176"/>
      <c r="F816" s="176"/>
      <c r="G816" s="176"/>
      <c r="H816" s="176"/>
      <c r="I816" s="176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33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</row>
    <row r="817" spans="1:33" s="6" customFormat="1" ht="13.5" hidden="1" thickBo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222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</row>
    <row r="818" spans="1:33" s="6" customFormat="1" ht="14.25" hidden="1" thickBot="1" thickTop="1">
      <c r="A818" s="15"/>
      <c r="B818" s="55" t="s">
        <v>257</v>
      </c>
      <c r="C818" s="56" t="s">
        <v>258</v>
      </c>
      <c r="D818" s="57"/>
      <c r="E818" s="58"/>
      <c r="F818" s="56" t="s">
        <v>259</v>
      </c>
      <c r="G818" s="57"/>
      <c r="H818" s="58"/>
      <c r="I818" s="56" t="s">
        <v>260</v>
      </c>
      <c r="J818" s="57"/>
      <c r="K818" s="58"/>
      <c r="L818" s="59" t="s">
        <v>261</v>
      </c>
      <c r="M818" s="57"/>
      <c r="N818" s="60"/>
      <c r="O818" s="15"/>
      <c r="P818" s="15"/>
      <c r="Q818" s="15"/>
      <c r="R818" s="15"/>
      <c r="S818" s="15"/>
      <c r="T818" s="15"/>
      <c r="U818" s="15"/>
      <c r="V818" s="15"/>
      <c r="W818" s="222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</row>
    <row r="819" spans="1:33" s="6" customFormat="1" ht="26.25" customHeight="1" hidden="1" thickTop="1">
      <c r="A819" s="15"/>
      <c r="B819" s="61"/>
      <c r="C819" s="367" t="s">
        <v>290</v>
      </c>
      <c r="D819" s="368" t="s">
        <v>263</v>
      </c>
      <c r="E819" s="238" t="s">
        <v>264</v>
      </c>
      <c r="F819" s="367" t="s">
        <v>290</v>
      </c>
      <c r="G819" s="369" t="s">
        <v>263</v>
      </c>
      <c r="H819" s="238" t="s">
        <v>264</v>
      </c>
      <c r="I819" s="367" t="s">
        <v>290</v>
      </c>
      <c r="J819" s="369" t="s">
        <v>263</v>
      </c>
      <c r="K819" s="238" t="s">
        <v>264</v>
      </c>
      <c r="L819" s="367" t="s">
        <v>290</v>
      </c>
      <c r="M819" s="369" t="s">
        <v>263</v>
      </c>
      <c r="N819" s="238" t="s">
        <v>264</v>
      </c>
      <c r="O819" s="15"/>
      <c r="P819" s="15"/>
      <c r="Q819" s="15"/>
      <c r="R819" s="15"/>
      <c r="S819" s="15"/>
      <c r="T819" s="15"/>
      <c r="U819" s="15"/>
      <c r="V819" s="15"/>
      <c r="W819" s="222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</row>
    <row r="820" spans="1:33" s="6" customFormat="1" ht="12.75" hidden="1">
      <c r="A820" s="15"/>
      <c r="B820" s="63" t="s">
        <v>298</v>
      </c>
      <c r="C820" s="371">
        <v>1</v>
      </c>
      <c r="D820" s="371">
        <v>18</v>
      </c>
      <c r="E820" s="366">
        <f>IF(C820=1,D820*'Poliof40 - LIVROB'!$F$554,IF(C820=2,D820*'Poliof40 - LIVROB'!$F$555,IF(C820=3,D820*'Poliof40 - LIVROB'!$F$556,IF(C820=4,D820*'Poliof40 - LIVROB'!$F$557,IF(C820=5,D820*'Poliof40 - LIVROB'!$F$558,0)))))+IF('Poliof40 - LIVROB'!$G$523=1,IF(C820=6,D820*'Poliof40 - LIVROB'!$F$543,IF(C820=7,D820*'Poliof40 - LIVROB'!$F$544,0)),0)</f>
        <v>48.06</v>
      </c>
      <c r="F820" s="371">
        <v>1</v>
      </c>
      <c r="G820" s="371">
        <v>16</v>
      </c>
      <c r="H820" s="366">
        <f>IF(F820=1,G820*'Poliof40 - LIVROB'!$F$554,IF(F820=2,G820*'Poliof40 - LIVROB'!$F$555,IF(F820=3,G820*'Poliof40 - LIVROB'!$F$556,IF(F820=4,G820*'Poliof40 - LIVROB'!$F$557,IF(F820=5,G820*'Poliof40 - LIVROB'!$F$558,0)))))+IF('Poliof40 - LIVROB'!$G$523=1,IF(F820=6,G820*'Poliof40 - LIVROB'!$F$543,IF(F820=7,G820*'Poliof40 - LIVROB'!$F$544,0)),0)</f>
        <v>42.72</v>
      </c>
      <c r="I820" s="371">
        <v>1</v>
      </c>
      <c r="J820" s="371">
        <v>12</v>
      </c>
      <c r="K820" s="366">
        <f>IF(I820=1,J820*'Poliof40 - LIVROB'!$F$554,IF(I820=2,J820*'Poliof40 - LIVROB'!$F$555,IF(I820=3,J820*'Poliof40 - LIVROB'!$F$556,IF(I820=4,J820*'Poliof40 - LIVROB'!$F$557,IF(I820=5,J820*'Poliof40 - LIVROB'!$F$558,0)))))+IF('Poliof40 - LIVROB'!$G$523=1,IF(I820=6,J820*'Poliof40 - LIVROB'!$F$543,IF(I820=7,J820*'Poliof40 - LIVROB'!$F$544,0)),0)</f>
        <v>32.04</v>
      </c>
      <c r="L820" s="371">
        <v>1</v>
      </c>
      <c r="M820" s="371">
        <v>18</v>
      </c>
      <c r="N820" s="366">
        <f>IF(L820=1,M820*'Poliof40 - LIVROB'!$F$554,IF(L820=2,M820*'Poliof40 - LIVROB'!$F$555,IF(L820=3,M820*'Poliof40 - LIVROB'!$F$556,IF(L820=4,M820*'Poliof40 - LIVROB'!$F$557,IF(L820=5,M820*'Poliof40 - LIVROB'!$F$558,0)))))+IF('Poliof40 - LIVROB'!$G$523=1,IF(L820=6,M820*'Poliof40 - LIVROB'!$F$543,IF(L820=7,M820*'Poliof40 - LIVROB'!$F$544,0)),0)</f>
        <v>48.06</v>
      </c>
      <c r="O820" s="15"/>
      <c r="P820" s="15"/>
      <c r="Q820" s="15"/>
      <c r="R820" s="15"/>
      <c r="S820" s="15"/>
      <c r="T820" s="15"/>
      <c r="U820" s="15"/>
      <c r="V820" s="15"/>
      <c r="W820" s="222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</row>
    <row r="821" spans="1:33" s="6" customFormat="1" ht="12.75" hidden="1">
      <c r="A821" s="15"/>
      <c r="B821" s="64"/>
      <c r="C821" s="371">
        <v>2</v>
      </c>
      <c r="D821" s="371">
        <v>2</v>
      </c>
      <c r="E821" s="366">
        <f>IF(C821=1,D821*'Poliof40 - LIVROB'!$F$554,IF(C821=2,D821*'Poliof40 - LIVROB'!$F$555,IF(C821=3,D821*'Poliof40 - LIVROB'!$F$556,IF(C821=4,D821*'Poliof40 - LIVROB'!$F$557,IF(C821=5,D821*'Poliof40 - LIVROB'!$F$558,0)))))+IF('Poliof40 - LIVROB'!$G$523=1,IF(C821=6,D821*'Poliof40 - LIVROB'!$F$543,IF(C821=7,D821*'Poliof40 - LIVROB'!$F$544,0)),0)+E820</f>
        <v>54.46</v>
      </c>
      <c r="F821" s="371">
        <v>2</v>
      </c>
      <c r="G821" s="371">
        <v>11</v>
      </c>
      <c r="H821" s="366">
        <f>IF(F821=1,G821*'Poliof40 - LIVROB'!$F$554,IF(F821=2,G821*'Poliof40 - LIVROB'!$F$555,IF(F821=3,G821*'Poliof40 - LIVROB'!$F$556,IF(F821=4,G821*'Poliof40 - LIVROB'!$F$557,IF(F821=5,G821*'Poliof40 - LIVROB'!$F$558,0)))))+IF('Poliof40 - LIVROB'!$G$523=1,IF(F821=6,G821*'Poliof40 - LIVROB'!$F$543,IF(F821=7,G821*'Poliof40 - LIVROB'!$F$544,0)),0)+H820</f>
        <v>77.92</v>
      </c>
      <c r="I821" s="371">
        <v>2</v>
      </c>
      <c r="J821" s="371">
        <v>11</v>
      </c>
      <c r="K821" s="366">
        <f>IF(I821=1,J821*'Poliof40 - LIVROB'!$F$554,IF(I821=2,J821*'Poliof40 - LIVROB'!$F$555,IF(I821=3,J821*'Poliof40 - LIVROB'!$F$556,IF(I821=4,J821*'Poliof40 - LIVROB'!$F$557,IF(I821=5,J821*'Poliof40 - LIVROB'!$F$558,0)))))+IF('Poliof40 - LIVROB'!$G$523=1,IF(I821=6,J821*'Poliof40 - LIVROB'!$F$543,IF(I821=7,J821*'Poliof40 - LIVROB'!$F$544,0)),0)+K820</f>
        <v>67.24000000000001</v>
      </c>
      <c r="L821" s="371">
        <v>2</v>
      </c>
      <c r="M821" s="371">
        <v>13</v>
      </c>
      <c r="N821" s="366">
        <f>IF(L821=1,M821*'Poliof40 - LIVROB'!$F$554,IF(L821=2,M821*'Poliof40 - LIVROB'!$F$555,IF(L821=3,M821*'Poliof40 - LIVROB'!$F$556,IF(L821=4,M821*'Poliof40 - LIVROB'!$F$557,IF(L821=5,M821*'Poliof40 - LIVROB'!$F$558,0)))))+IF('Poliof40 - LIVROB'!$G$523=1,IF(L821=6,M821*'Poliof40 - LIVROB'!$F$543,IF(L821=7,M821*'Poliof40 - LIVROB'!$F$544,0)),0)+N820</f>
        <v>89.66</v>
      </c>
      <c r="O821" s="15"/>
      <c r="P821" s="15"/>
      <c r="Q821" s="15"/>
      <c r="R821" s="15"/>
      <c r="S821" s="15"/>
      <c r="T821" s="15"/>
      <c r="U821" s="15"/>
      <c r="V821" s="15"/>
      <c r="W821" s="222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</row>
    <row r="822" spans="1:33" s="6" customFormat="1" ht="12.75" hidden="1">
      <c r="A822" s="15"/>
      <c r="B822" s="63" t="s">
        <v>299</v>
      </c>
      <c r="C822" s="371">
        <v>3</v>
      </c>
      <c r="D822" s="371">
        <v>30</v>
      </c>
      <c r="E822" s="366">
        <f>IF(C822=1,D822*'Poliof40 - LIVROB'!$F$554,IF(C822=2,D822*'Poliof40 - LIVROB'!$F$555,IF(C822=3,D822*'Poliof40 - LIVROB'!$F$556,IF(C822=4,D822*'Poliof40 - LIVROB'!$F$557,IF(C822=5,D822*'Poliof40 - LIVROB'!$F$558,0)))))+IF('Poliof40 - LIVROB'!$G$523=1,IF(C822=6,D822*'Poliof40 - LIVROB'!$F$543,IF(C822=7,D822*'Poliof40 - LIVROB'!$F$544,0)),0)+E821</f>
        <v>94.96000000000001</v>
      </c>
      <c r="F822" s="371">
        <v>3</v>
      </c>
      <c r="G822" s="371">
        <v>12</v>
      </c>
      <c r="H822" s="366">
        <f>IF(F822=1,G822*'Poliof40 - LIVROB'!$F$554,IF(F822=2,G822*'Poliof40 - LIVROB'!$F$555,IF(F822=3,G822*'Poliof40 - LIVROB'!$F$556,IF(F822=4,G822*'Poliof40 - LIVROB'!$F$557,IF(F822=5,G822*'Poliof40 - LIVROB'!$F$558,0)))))+IF('Poliof40 - LIVROB'!$G$523=1,IF(F822=6,G822*'Poliof40 - LIVROB'!$F$543,IF(F822=7,G822*'Poliof40 - LIVROB'!$F$544,0)),0)+H821</f>
        <v>94.12</v>
      </c>
      <c r="I822" s="371">
        <v>3</v>
      </c>
      <c r="J822" s="371">
        <v>9</v>
      </c>
      <c r="K822" s="366">
        <f>IF(I822=1,J822*'Poliof40 - LIVROB'!$F$554,IF(I822=2,J822*'Poliof40 - LIVROB'!$F$555,IF(I822=3,J822*'Poliof40 - LIVROB'!$F$556,IF(I822=4,J822*'Poliof40 - LIVROB'!$F$557,IF(I822=5,J822*'Poliof40 - LIVROB'!$F$558,0)))))+IF('Poliof40 - LIVROB'!$G$523=1,IF(I822=6,J822*'Poliof40 - LIVROB'!$F$543,IF(I822=7,J822*'Poliof40 - LIVROB'!$F$544,0)),0)+K821</f>
        <v>79.39000000000001</v>
      </c>
      <c r="L822" s="371">
        <v>3</v>
      </c>
      <c r="M822" s="371">
        <v>30</v>
      </c>
      <c r="N822" s="366">
        <f>IF(L822=1,M822*'Poliof40 - LIVROB'!$F$554,IF(L822=2,M822*'Poliof40 - LIVROB'!$F$555,IF(L822=3,M822*'Poliof40 - LIVROB'!$F$556,IF(L822=4,M822*'Poliof40 - LIVROB'!$F$557,IF(L822=5,M822*'Poliof40 - LIVROB'!$F$558,0)))))+IF('Poliof40 - LIVROB'!$G$523=1,IF(L822=6,M822*'Poliof40 - LIVROB'!$F$543,IF(L822=7,M822*'Poliof40 - LIVROB'!$F$544,0)),0)+N821</f>
        <v>130.16</v>
      </c>
      <c r="O822" s="15"/>
      <c r="P822" s="15"/>
      <c r="Q822" s="15"/>
      <c r="R822" s="15"/>
      <c r="S822" s="15"/>
      <c r="T822" s="15"/>
      <c r="U822" s="15"/>
      <c r="V822" s="15"/>
      <c r="W822" s="222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</row>
    <row r="823" spans="1:33" s="6" customFormat="1" ht="12.75" hidden="1">
      <c r="A823" s="15"/>
      <c r="B823" s="64"/>
      <c r="C823" s="371">
        <v>4</v>
      </c>
      <c r="D823" s="371">
        <v>21</v>
      </c>
      <c r="E823" s="366">
        <f>IF(C823=1,D823*'Poliof40 - LIVROB'!$F$554,IF(C823=2,D823*'Poliof40 - LIVROB'!$F$555,IF(C823=3,D823*'Poliof40 - LIVROB'!$F$556,IF(C823=4,D823*'Poliof40 - LIVROB'!$F$557,IF(C823=5,D823*'Poliof40 - LIVROB'!$F$558,0)))))+IF('Poliof40 - LIVROB'!$G$523=1,IF(C823=6,D823*'Poliof40 - LIVROB'!$F$543,IF(C823=7,D823*'Poliof40 - LIVROB'!$F$544,0)),0)+E822</f>
        <v>123.31</v>
      </c>
      <c r="F823" s="371">
        <v>4</v>
      </c>
      <c r="G823" s="371">
        <v>22</v>
      </c>
      <c r="H823" s="366">
        <f>IF(F823=1,G823*'Poliof40 - LIVROB'!$F$554,IF(F823=2,G823*'Poliof40 - LIVROB'!$F$555,IF(F823=3,G823*'Poliof40 - LIVROB'!$F$556,IF(F823=4,G823*'Poliof40 - LIVROB'!$F$557,IF(F823=5,G823*'Poliof40 - LIVROB'!$F$558,0)))))+IF('Poliof40 - LIVROB'!$G$523=1,IF(F823=6,G823*'Poliof40 - LIVROB'!$F$543,IF(F823=7,G823*'Poliof40 - LIVROB'!$F$544,0)),0)+H822</f>
        <v>123.82000000000001</v>
      </c>
      <c r="I823" s="371">
        <v>4</v>
      </c>
      <c r="J823" s="371">
        <v>22</v>
      </c>
      <c r="K823" s="366">
        <f>IF(I823=1,J823*'Poliof40 - LIVROB'!$F$554,IF(I823=2,J823*'Poliof40 - LIVROB'!$F$555,IF(I823=3,J823*'Poliof40 - LIVROB'!$F$556,IF(I823=4,J823*'Poliof40 - LIVROB'!$F$557,IF(I823=5,J823*'Poliof40 - LIVROB'!$F$558,0)))))+IF('Poliof40 - LIVROB'!$G$523=1,IF(I823=6,J823*'Poliof40 - LIVROB'!$F$543,IF(I823=7,J823*'Poliof40 - LIVROB'!$F$544,0)),0)+K822</f>
        <v>109.09000000000002</v>
      </c>
      <c r="L823" s="371">
        <v>4</v>
      </c>
      <c r="M823" s="371">
        <v>22</v>
      </c>
      <c r="N823" s="366">
        <f>IF(L823=1,M823*'Poliof40 - LIVROB'!$F$554,IF(L823=2,M823*'Poliof40 - LIVROB'!$F$555,IF(L823=3,M823*'Poliof40 - LIVROB'!$F$556,IF(L823=4,M823*'Poliof40 - LIVROB'!$F$557,IF(L823=5,M823*'Poliof40 - LIVROB'!$F$558,0)))))+IF('Poliof40 - LIVROB'!$G$523=1,IF(L823=6,M823*'Poliof40 - LIVROB'!$F$543,IF(L823=7,M823*'Poliof40 - LIVROB'!$F$544,0)),0)+N822</f>
        <v>159.86</v>
      </c>
      <c r="O823" s="15"/>
      <c r="P823" s="15"/>
      <c r="Q823" s="15"/>
      <c r="R823" s="15"/>
      <c r="S823" s="15"/>
      <c r="T823" s="15"/>
      <c r="U823" s="15"/>
      <c r="V823" s="15"/>
      <c r="W823" s="222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</row>
    <row r="824" spans="1:33" s="6" customFormat="1" ht="12.75" hidden="1">
      <c r="A824" s="15"/>
      <c r="B824" s="63" t="s">
        <v>300</v>
      </c>
      <c r="C824" s="371">
        <v>5</v>
      </c>
      <c r="D824" s="371">
        <v>17</v>
      </c>
      <c r="E824" s="366">
        <f>IF(C824=1,D824*'Poliof40 - LIVROB'!$F$554,IF(C824=2,D824*'Poliof40 - LIVROB'!$F$555,IF(C824=3,D824*'Poliof40 - LIVROB'!$F$556,IF(C824=4,D824*'Poliof40 - LIVROB'!$F$557,IF(C824=5,D824*'Poliof40 - LIVROB'!$F$558,0)))))+IF('Poliof40 - LIVROB'!$G$523=1,IF(C824=6,D824*'Poliof40 - LIVROB'!$F$543,IF(C824=7,D824*'Poliof40 - LIVROB'!$F$544,0)),0)+E823</f>
        <v>150.51</v>
      </c>
      <c r="F824" s="371">
        <v>5</v>
      </c>
      <c r="G824" s="371">
        <v>18</v>
      </c>
      <c r="H824" s="366">
        <f>IF(F824=1,G824*'Poliof40 - LIVROB'!$F$554,IF(F824=2,G824*'Poliof40 - LIVROB'!$F$555,IF(F824=3,G824*'Poliof40 - LIVROB'!$F$556,IF(F824=4,G824*'Poliof40 - LIVROB'!$F$557,IF(F824=5,G824*'Poliof40 - LIVROB'!$F$558,0)))))+IF('Poliof40 - LIVROB'!$G$523=1,IF(F824=6,G824*'Poliof40 - LIVROB'!$F$543,IF(F824=7,G824*'Poliof40 - LIVROB'!$F$544,0)),0)+H823</f>
        <v>152.62</v>
      </c>
      <c r="I824" s="371">
        <v>5</v>
      </c>
      <c r="J824" s="371">
        <v>18</v>
      </c>
      <c r="K824" s="366">
        <f>IF(I824=1,J824*'Poliof40 - LIVROB'!$F$554,IF(I824=2,J824*'Poliof40 - LIVROB'!$F$555,IF(I824=3,J824*'Poliof40 - LIVROB'!$F$556,IF(I824=4,J824*'Poliof40 - LIVROB'!$F$557,IF(I824=5,J824*'Poliof40 - LIVROB'!$F$558,0)))))+IF('Poliof40 - LIVROB'!$G$523=1,IF(I824=6,J824*'Poliof40 - LIVROB'!$F$543,IF(I824=7,J824*'Poliof40 - LIVROB'!$F$544,0)),0)+K823</f>
        <v>137.89000000000001</v>
      </c>
      <c r="L824" s="371">
        <v>5</v>
      </c>
      <c r="M824" s="371">
        <v>24</v>
      </c>
      <c r="N824" s="366">
        <f>IF(L824=1,M824*'Poliof40 - LIVROB'!$F$554,IF(L824=2,M824*'Poliof40 - LIVROB'!$F$555,IF(L824=3,M824*'Poliof40 - LIVROB'!$F$556,IF(L824=4,M824*'Poliof40 - LIVROB'!$F$557,IF(L824=5,M824*'Poliof40 - LIVROB'!$F$558,0)))))+IF('Poliof40 - LIVROB'!$G$523=1,IF(L824=6,M824*'Poliof40 - LIVROB'!$F$543,IF(L824=7,M824*'Poliof40 - LIVROB'!$F$544,0)),0)+N823</f>
        <v>198.26000000000002</v>
      </c>
      <c r="O824" s="15"/>
      <c r="P824" s="15"/>
      <c r="Q824" s="15"/>
      <c r="R824" s="15"/>
      <c r="S824" s="15"/>
      <c r="T824" s="15"/>
      <c r="U824" s="15"/>
      <c r="V824" s="15"/>
      <c r="W824" s="222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</row>
    <row r="825" spans="1:33" s="6" customFormat="1" ht="12.75" hidden="1">
      <c r="A825" s="15"/>
      <c r="B825" s="64"/>
      <c r="C825" s="371"/>
      <c r="D825" s="371"/>
      <c r="E825" s="366">
        <f>IF(C825=1,D825*'Poliof40 - LIVROB'!$F$554,IF(C825=2,D825*'Poliof40 - LIVROB'!$F$555,IF(C825=3,D825*'Poliof40 - LIVROB'!$F$556,IF(C825=4,D825*'Poliof40 - LIVROB'!$F$557,IF(C825=5,D825*'Poliof40 - LIVROB'!$F$558,0)))))+IF('Poliof40 - LIVROB'!$G$523=1,IF(C825=6,D825*'Poliof40 - LIVROB'!$F$543,IF(C825=7,D825*'Poliof40 - LIVROB'!$F$544,0)),0)+E824</f>
        <v>150.51</v>
      </c>
      <c r="F825" s="371"/>
      <c r="G825" s="371"/>
      <c r="H825" s="366">
        <f>IF(F825=1,G825*'Poliof40 - LIVROB'!$F$554,IF(F825=2,G825*'Poliof40 - LIVROB'!$F$555,IF(F825=3,G825*'Poliof40 - LIVROB'!$F$556,IF(F825=4,G825*'Poliof40 - LIVROB'!$F$557,IF(F825=5,G825*'Poliof40 - LIVROB'!$F$558,0)))))+IF('Poliof40 - LIVROB'!$G$523=1,IF(F825=6,G825*'Poliof40 - LIVROB'!$F$543,IF(F825=7,G825*'Poliof40 - LIVROB'!$F$544,0)),0)+H824</f>
        <v>152.62</v>
      </c>
      <c r="I825" s="371"/>
      <c r="J825" s="371"/>
      <c r="K825" s="366">
        <f>IF(I825=1,J825*'Poliof40 - LIVROB'!$F$554,IF(I825=2,J825*'Poliof40 - LIVROB'!$F$555,IF(I825=3,J825*'Poliof40 - LIVROB'!$F$556,IF(I825=4,J825*'Poliof40 - LIVROB'!$F$557,IF(I825=5,J825*'Poliof40 - LIVROB'!$F$558,0)))))+IF('Poliof40 - LIVROB'!$G$523=1,IF(I825=6,J825*'Poliof40 - LIVROB'!$F$543,IF(I825=7,J825*'Poliof40 - LIVROB'!$F$544,0)),0)+K824</f>
        <v>137.89000000000001</v>
      </c>
      <c r="L825" s="371"/>
      <c r="M825" s="371"/>
      <c r="N825" s="366">
        <f>IF(L825=1,M825*'Poliof40 - LIVROB'!$F$554,IF(L825=2,M825*'Poliof40 - LIVROB'!$F$555,IF(L825=3,M825*'Poliof40 - LIVROB'!$F$556,IF(L825=4,M825*'Poliof40 - LIVROB'!$F$557,IF(L825=5,M825*'Poliof40 - LIVROB'!$F$558,0)))))+IF('Poliof40 - LIVROB'!$G$523=1,IF(L825=6,M825*'Poliof40 - LIVROB'!$F$543,IF(L825=7,M825*'Poliof40 - LIVROB'!$F$544,0)),0)+N824</f>
        <v>198.26000000000002</v>
      </c>
      <c r="O825" s="15"/>
      <c r="P825" s="15"/>
      <c r="Q825" s="15"/>
      <c r="R825" s="15"/>
      <c r="S825" s="15"/>
      <c r="T825" s="15"/>
      <c r="U825" s="15"/>
      <c r="V825" s="15"/>
      <c r="W825" s="222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</row>
    <row r="826" spans="1:33" s="6" customFormat="1" ht="12.75" hidden="1">
      <c r="A826" s="15"/>
      <c r="B826" s="63" t="s">
        <v>301</v>
      </c>
      <c r="C826" s="371"/>
      <c r="D826" s="371"/>
      <c r="E826" s="366">
        <f>IF(C826=1,D826*'Poliof40 - LIVROB'!$F$554,IF(C826=2,D826*'Poliof40 - LIVROB'!$F$555,IF(C826=3,D826*'Poliof40 - LIVROB'!$F$556,IF(C826=4,D826*'Poliof40 - LIVROB'!$F$557,IF(C826=5,D826*'Poliof40 - LIVROB'!$F$558,0)))))+IF('Poliof40 - LIVROB'!$G$523=1,IF(C826=6,D826*'Poliof40 - LIVROB'!$F$543,IF(C826=7,D826*'Poliof40 - LIVROB'!$F$544,0)),0)+E825</f>
        <v>150.51</v>
      </c>
      <c r="F826" s="371"/>
      <c r="G826" s="371"/>
      <c r="H826" s="366">
        <f>IF(F826=1,G826*'Poliof40 - LIVROB'!$F$554,IF(F826=2,G826*'Poliof40 - LIVROB'!$F$555,IF(F826=3,G826*'Poliof40 - LIVROB'!$F$556,IF(F826=4,G826*'Poliof40 - LIVROB'!$F$557,IF(F826=5,G826*'Poliof40 - LIVROB'!$F$558,0)))))+IF('Poliof40 - LIVROB'!$G$523=1,IF(F826=6,G826*'Poliof40 - LIVROB'!$F$543,IF(F826=7,G826*'Poliof40 - LIVROB'!$F$544,0)),0)+H825</f>
        <v>152.62</v>
      </c>
      <c r="I826" s="371"/>
      <c r="J826" s="371"/>
      <c r="K826" s="366">
        <f>IF(I826=1,J826*'Poliof40 - LIVROB'!$F$554,IF(I826=2,J826*'Poliof40 - LIVROB'!$F$555,IF(I826=3,J826*'Poliof40 - LIVROB'!$F$556,IF(I826=4,J826*'Poliof40 - LIVROB'!$F$557,IF(I826=5,J826*'Poliof40 - LIVROB'!$F$558,0)))))+IF('Poliof40 - LIVROB'!$G$523=1,IF(I826=6,J826*'Poliof40 - LIVROB'!$F$543,IF(I826=7,J826*'Poliof40 - LIVROB'!$F$544,0)),0)+K825</f>
        <v>137.89000000000001</v>
      </c>
      <c r="L826" s="371"/>
      <c r="M826" s="371"/>
      <c r="N826" s="366">
        <f>IF(L826=1,M826*'Poliof40 - LIVROB'!$F$554,IF(L826=2,M826*'Poliof40 - LIVROB'!$F$555,IF(L826=3,M826*'Poliof40 - LIVROB'!$F$556,IF(L826=4,M826*'Poliof40 - LIVROB'!$F$557,IF(L826=5,M826*'Poliof40 - LIVROB'!$F$558,0)))))+IF('Poliof40 - LIVROB'!$G$523=1,IF(L826=6,M826*'Poliof40 - LIVROB'!$F$543,IF(L826=7,M826*'Poliof40 - LIVROB'!$F$544,0)),0)+N825</f>
        <v>198.26000000000002</v>
      </c>
      <c r="O826" s="15"/>
      <c r="P826" s="15"/>
      <c r="Q826" s="15"/>
      <c r="R826" s="15"/>
      <c r="S826" s="15"/>
      <c r="T826" s="15"/>
      <c r="U826" s="15"/>
      <c r="V826" s="15"/>
      <c r="W826" s="222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</row>
    <row r="827" spans="1:33" s="6" customFormat="1" ht="12.75" hidden="1">
      <c r="A827" s="15"/>
      <c r="B827" s="64"/>
      <c r="C827" s="371"/>
      <c r="D827" s="371"/>
      <c r="E827" s="366">
        <f>IF(C827=1,D827*'Poliof40 - LIVROB'!$F$554,IF(C827=2,D827*'Poliof40 - LIVROB'!$F$555,IF(C827=3,D827*'Poliof40 - LIVROB'!$F$556,IF(C827=4,D827*'Poliof40 - LIVROB'!$F$557,IF(C827=5,D827*'Poliof40 - LIVROB'!$F$558,0)))))+IF('Poliof40 - LIVROB'!$G$523=1,IF(C827=6,D827*'Poliof40 - LIVROB'!$F$543,IF(C827=7,D827*'Poliof40 - LIVROB'!$F$544,0)),0)+E826</f>
        <v>150.51</v>
      </c>
      <c r="F827" s="371"/>
      <c r="G827" s="371"/>
      <c r="H827" s="366">
        <f>IF(F827=1,G827*'Poliof40 - LIVROB'!$F$554,IF(F827=2,G827*'Poliof40 - LIVROB'!$F$555,IF(F827=3,G827*'Poliof40 - LIVROB'!$F$556,IF(F827=4,G827*'Poliof40 - LIVROB'!$F$557,IF(F827=5,G827*'Poliof40 - LIVROB'!$F$558,0)))))+IF('Poliof40 - LIVROB'!$G$523=1,IF(F827=6,G827*'Poliof40 - LIVROB'!$F$543,IF(F827=7,G827*'Poliof40 - LIVROB'!$F$544,0)),0)+H826</f>
        <v>152.62</v>
      </c>
      <c r="I827" s="371"/>
      <c r="J827" s="371"/>
      <c r="K827" s="366">
        <f>IF(I827=1,J827*'Poliof40 - LIVROB'!$F$554,IF(I827=2,J827*'Poliof40 - LIVROB'!$F$555,IF(I827=3,J827*'Poliof40 - LIVROB'!$F$556,IF(I827=4,J827*'Poliof40 - LIVROB'!$F$557,IF(I827=5,J827*'Poliof40 - LIVROB'!$F$558,0)))))+IF('Poliof40 - LIVROB'!$G$523=1,IF(I827=6,J827*'Poliof40 - LIVROB'!$F$543,IF(I827=7,J827*'Poliof40 - LIVROB'!$F$544,0)),0)+K826</f>
        <v>137.89000000000001</v>
      </c>
      <c r="L827" s="371"/>
      <c r="M827" s="371"/>
      <c r="N827" s="366">
        <f>IF(L827=1,M827*'Poliof40 - LIVROB'!$F$554,IF(L827=2,M827*'Poliof40 - LIVROB'!$F$555,IF(L827=3,M827*'Poliof40 - LIVROB'!$F$556,IF(L827=4,M827*'Poliof40 - LIVROB'!$F$557,IF(L827=5,M827*'Poliof40 - LIVROB'!$F$558,0)))))+IF('Poliof40 - LIVROB'!$G$523=1,IF(L827=6,M827*'Poliof40 - LIVROB'!$F$543,IF(L827=7,M827*'Poliof40 - LIVROB'!$F$544,0)),0)+N826</f>
        <v>198.26000000000002</v>
      </c>
      <c r="O827" s="15"/>
      <c r="P827" s="15"/>
      <c r="Q827" s="15"/>
      <c r="R827" s="15"/>
      <c r="S827" s="15"/>
      <c r="T827" s="15"/>
      <c r="U827" s="15"/>
      <c r="V827" s="15"/>
      <c r="W827" s="222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</row>
    <row r="828" spans="1:33" s="6" customFormat="1" ht="12.75" hidden="1">
      <c r="A828" s="15"/>
      <c r="B828" s="63" t="s">
        <v>302</v>
      </c>
      <c r="C828" s="371"/>
      <c r="D828" s="371"/>
      <c r="E828" s="366">
        <f>IF(C828=1,D828*'Poliof40 - LIVROB'!$F$554,IF(C828=2,D828*'Poliof40 - LIVROB'!$F$555,IF(C828=3,D828*'Poliof40 - LIVROB'!$F$556,IF(C828=4,D828*'Poliof40 - LIVROB'!$F$557,IF(C828=5,D828*'Poliof40 - LIVROB'!$F$558,0)))))+IF('Poliof40 - LIVROB'!$G$523=1,IF(C828=6,D828*'Poliof40 - LIVROB'!$F$543,IF(C828=7,D828*'Poliof40 - LIVROB'!$F$544,0)),0)+E827</f>
        <v>150.51</v>
      </c>
      <c r="F828" s="371"/>
      <c r="G828" s="371"/>
      <c r="H828" s="366">
        <f>IF(F828=1,G828*'Poliof40 - LIVROB'!$F$554,IF(F828=2,G828*'Poliof40 - LIVROB'!$F$555,IF(F828=3,G828*'Poliof40 - LIVROB'!$F$556,IF(F828=4,G828*'Poliof40 - LIVROB'!$F$557,IF(F828=5,G828*'Poliof40 - LIVROB'!$F$558,0)))))+IF('Poliof40 - LIVROB'!$G$523=1,IF(F828=6,G828*'Poliof40 - LIVROB'!$F$543,IF(F828=7,G828*'Poliof40 - LIVROB'!$F$544,0)),0)+H827</f>
        <v>152.62</v>
      </c>
      <c r="I828" s="371"/>
      <c r="J828" s="371"/>
      <c r="K828" s="366">
        <f>IF(I828=1,J828*'Poliof40 - LIVROB'!$F$554,IF(I828=2,J828*'Poliof40 - LIVROB'!$F$555,IF(I828=3,J828*'Poliof40 - LIVROB'!$F$556,IF(I828=4,J828*'Poliof40 - LIVROB'!$F$557,IF(I828=5,J828*'Poliof40 - LIVROB'!$F$558,0)))))+IF('Poliof40 - LIVROB'!$G$523=1,IF(I828=6,J828*'Poliof40 - LIVROB'!$F$543,IF(I828=7,J828*'Poliof40 - LIVROB'!$F$544,0)),0)+K827</f>
        <v>137.89000000000001</v>
      </c>
      <c r="L828" s="371"/>
      <c r="M828" s="371"/>
      <c r="N828" s="366">
        <f>IF(L828=1,M828*'Poliof40 - LIVROB'!$F$554,IF(L828=2,M828*'Poliof40 - LIVROB'!$F$555,IF(L828=3,M828*'Poliof40 - LIVROB'!$F$556,IF(L828=4,M828*'Poliof40 - LIVROB'!$F$557,IF(L828=5,M828*'Poliof40 - LIVROB'!$F$558,0)))))+IF('Poliof40 - LIVROB'!$G$523=1,IF(L828=6,M828*'Poliof40 - LIVROB'!$F$543,IF(L828=7,M828*'Poliof40 - LIVROB'!$F$544,0)),0)+N827</f>
        <v>198.26000000000002</v>
      </c>
      <c r="O828" s="15"/>
      <c r="P828" s="15"/>
      <c r="Q828" s="15"/>
      <c r="R828" s="15"/>
      <c r="S828" s="15"/>
      <c r="T828" s="15"/>
      <c r="U828" s="15"/>
      <c r="V828" s="15"/>
      <c r="W828" s="222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</row>
    <row r="829" spans="1:33" s="6" customFormat="1" ht="12.75" hidden="1">
      <c r="A829" s="15"/>
      <c r="B829" s="64"/>
      <c r="C829" s="371"/>
      <c r="D829" s="371"/>
      <c r="E829" s="366">
        <f>IF(C829=1,D829*'Poliof40 - LIVROB'!$F$554,IF(C829=2,D829*'Poliof40 - LIVROB'!$F$555,IF(C829=3,D829*'Poliof40 - LIVROB'!$F$556,IF(C829=4,D829*'Poliof40 - LIVROB'!$F$557,IF(C829=5,D829*'Poliof40 - LIVROB'!$F$558,0)))))+IF('Poliof40 - LIVROB'!$G$523=1,IF(C829=6,D829*'Poliof40 - LIVROB'!$F$543,IF(C829=7,D829*'Poliof40 - LIVROB'!$F$544,0)),0)+E828</f>
        <v>150.51</v>
      </c>
      <c r="F829" s="371"/>
      <c r="G829" s="371"/>
      <c r="H829" s="366">
        <f>IF(F829=1,G829*'Poliof40 - LIVROB'!$F$554,IF(F829=2,G829*'Poliof40 - LIVROB'!$F$555,IF(F829=3,G829*'Poliof40 - LIVROB'!$F$556,IF(F829=4,G829*'Poliof40 - LIVROB'!$F$557,IF(F829=5,G829*'Poliof40 - LIVROB'!$F$558,0)))))+IF('Poliof40 - LIVROB'!$G$523=1,IF(F829=6,G829*'Poliof40 - LIVROB'!$F$543,IF(F829=7,G829*'Poliof40 - LIVROB'!$F$544,0)),0)+H828</f>
        <v>152.62</v>
      </c>
      <c r="I829" s="371"/>
      <c r="J829" s="371"/>
      <c r="K829" s="366">
        <f>IF(I829=1,J829*'Poliof40 - LIVROB'!$F$554,IF(I829=2,J829*'Poliof40 - LIVROB'!$F$555,IF(I829=3,J829*'Poliof40 - LIVROB'!$F$556,IF(I829=4,J829*'Poliof40 - LIVROB'!$F$557,IF(I829=5,J829*'Poliof40 - LIVROB'!$F$558,0)))))+IF('Poliof40 - LIVROB'!$G$523=1,IF(I829=6,J829*'Poliof40 - LIVROB'!$F$543,IF(I829=7,J829*'Poliof40 - LIVROB'!$F$544,0)),0)+K828</f>
        <v>137.89000000000001</v>
      </c>
      <c r="L829" s="371"/>
      <c r="M829" s="371"/>
      <c r="N829" s="366">
        <f>IF(L829=1,M829*'Poliof40 - LIVROB'!$F$554,IF(L829=2,M829*'Poliof40 - LIVROB'!$F$555,IF(L829=3,M829*'Poliof40 - LIVROB'!$F$556,IF(L829=4,M829*'Poliof40 - LIVROB'!$F$557,IF(L829=5,M829*'Poliof40 - LIVROB'!$F$558,0)))))+IF('Poliof40 - LIVROB'!$G$523=1,IF(L829=6,M829*'Poliof40 - LIVROB'!$F$543,IF(L829=7,M829*'Poliof40 - LIVROB'!$F$544,0)),0)+N828</f>
        <v>198.26000000000002</v>
      </c>
      <c r="O829" s="15"/>
      <c r="P829" s="15"/>
      <c r="Q829" s="15"/>
      <c r="R829" s="15"/>
      <c r="S829" s="15"/>
      <c r="T829" s="15"/>
      <c r="U829" s="15"/>
      <c r="V829" s="15"/>
      <c r="W829" s="222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</row>
    <row r="830" spans="1:33" s="6" customFormat="1" ht="12.75" hidden="1">
      <c r="A830" s="15"/>
      <c r="B830" s="385" t="s">
        <v>303</v>
      </c>
      <c r="C830" s="371"/>
      <c r="D830" s="371"/>
      <c r="E830" s="366">
        <f>IF(C830=1,D830*'Poliof40 - LIVROB'!$F$554,IF(C830=2,D830*'Poliof40 - LIVROB'!$F$555,IF(C830=3,D830*'Poliof40 - LIVROB'!$F$556,IF(C830=4,D830*'Poliof40 - LIVROB'!$F$557,IF(C830=5,D830*'Poliof40 - LIVROB'!$F$558,0)))))+IF('Poliof40 - LIVROB'!$G$523=1,IF(C830=6,D830*'Poliof40 - LIVROB'!$F$543,IF(C830=7,D830*'Poliof40 - LIVROB'!$F$544,0)),0)+E829</f>
        <v>150.51</v>
      </c>
      <c r="F830" s="371"/>
      <c r="G830" s="371"/>
      <c r="H830" s="366">
        <f>IF(F830=1,G830*'Poliof40 - LIVROB'!$F$554,IF(F830=2,G830*'Poliof40 - LIVROB'!$F$555,IF(F830=3,G830*'Poliof40 - LIVROB'!$F$556,IF(F830=4,G830*'Poliof40 - LIVROB'!$F$557,IF(F830=5,G830*'Poliof40 - LIVROB'!$F$558,0)))))+IF('Poliof40 - LIVROB'!$G$523=1,IF(F830=6,G830*'Poliof40 - LIVROB'!$F$543,IF(F830=7,G830*'Poliof40 - LIVROB'!$F$544,0)),0)+H829</f>
        <v>152.62</v>
      </c>
      <c r="I830" s="371"/>
      <c r="J830" s="371"/>
      <c r="K830" s="366">
        <f>IF(I830=1,J830*'Poliof40 - LIVROB'!$F$554,IF(I830=2,J830*'Poliof40 - LIVROB'!$F$555,IF(I830=3,J830*'Poliof40 - LIVROB'!$F$556,IF(I830=4,J830*'Poliof40 - LIVROB'!$F$557,IF(I830=5,J830*'Poliof40 - LIVROB'!$F$558,0)))))+IF('Poliof40 - LIVROB'!$G$523=1,IF(I830=6,J830*'Poliof40 - LIVROB'!$F$543,IF(I830=7,J830*'Poliof40 - LIVROB'!$F$544,0)),0)+K829</f>
        <v>137.89000000000001</v>
      </c>
      <c r="L830" s="371"/>
      <c r="M830" s="371"/>
      <c r="N830" s="366">
        <f>IF(L830=1,M830*'Poliof40 - LIVROB'!$F$554,IF(L830=2,M830*'Poliof40 - LIVROB'!$F$555,IF(L830=3,M830*'Poliof40 - LIVROB'!$F$556,IF(L830=4,M830*'Poliof40 - LIVROB'!$F$557,IF(L830=5,M830*'Poliof40 - LIVROB'!$F$558,0)))))+IF('Poliof40 - LIVROB'!$G$523=1,IF(L830=6,M830*'Poliof40 - LIVROB'!$F$543,IF(L830=7,M830*'Poliof40 - LIVROB'!$F$544,0)),0)+N829</f>
        <v>198.26000000000002</v>
      </c>
      <c r="O830" s="15"/>
      <c r="P830" s="15"/>
      <c r="Q830" s="15"/>
      <c r="R830" s="15"/>
      <c r="S830" s="15"/>
      <c r="T830" s="15"/>
      <c r="U830" s="15"/>
      <c r="V830" s="15"/>
      <c r="W830" s="222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</row>
    <row r="831" spans="1:33" s="6" customFormat="1" ht="12.75" hidden="1">
      <c r="A831" s="15"/>
      <c r="B831" s="64"/>
      <c r="C831" s="371"/>
      <c r="D831" s="371"/>
      <c r="E831" s="366">
        <f>IF(C831=1,D831*'Poliof40 - LIVROB'!$F$554,IF(C831=2,D831*'Poliof40 - LIVROB'!$F$555,IF(C831=3,D831*'Poliof40 - LIVROB'!$F$556,IF(C831=4,D831*'Poliof40 - LIVROB'!$F$557,IF(C831=5,D831*'Poliof40 - LIVROB'!$F$558,0)))))+IF('Poliof40 - LIVROB'!$G$523=1,IF(C831=6,D831*'Poliof40 - LIVROB'!$F$543,IF(C831=7,D831*'Poliof40 - LIVROB'!$F$544,0)),0)+E830</f>
        <v>150.51</v>
      </c>
      <c r="F831" s="371"/>
      <c r="G831" s="371"/>
      <c r="H831" s="366">
        <f>IF(F831=1,G831*'Poliof40 - LIVROB'!$F$554,IF(F831=2,G831*'Poliof40 - LIVROB'!$F$555,IF(F831=3,G831*'Poliof40 - LIVROB'!$F$556,IF(F831=4,G831*'Poliof40 - LIVROB'!$F$557,IF(F831=5,G831*'Poliof40 - LIVROB'!$F$558,0)))))+IF('Poliof40 - LIVROB'!$G$523=1,IF(F831=6,G831*'Poliof40 - LIVROB'!$F$543,IF(F831=7,G831*'Poliof40 - LIVROB'!$F$544,0)),0)+H830</f>
        <v>152.62</v>
      </c>
      <c r="I831" s="371"/>
      <c r="J831" s="371"/>
      <c r="K831" s="366">
        <f>IF(I831=1,J831*'Poliof40 - LIVROB'!$F$554,IF(I831=2,J831*'Poliof40 - LIVROB'!$F$555,IF(I831=3,J831*'Poliof40 - LIVROB'!$F$556,IF(I831=4,J831*'Poliof40 - LIVROB'!$F$557,IF(I831=5,J831*'Poliof40 - LIVROB'!$F$558,0)))))+IF('Poliof40 - LIVROB'!$G$523=1,IF(I831=6,J831*'Poliof40 - LIVROB'!$F$543,IF(I831=7,J831*'Poliof40 - LIVROB'!$F$544,0)),0)+K830</f>
        <v>137.89000000000001</v>
      </c>
      <c r="L831" s="371"/>
      <c r="M831" s="371"/>
      <c r="N831" s="366">
        <f>IF(L831=1,M831*'Poliof40 - LIVROB'!$F$554,IF(L831=2,M831*'Poliof40 - LIVROB'!$F$555,IF(L831=3,M831*'Poliof40 - LIVROB'!$F$556,IF(L831=4,M831*'Poliof40 - LIVROB'!$F$557,IF(L831=5,M831*'Poliof40 - LIVROB'!$F$558,0)))))+IF('Poliof40 - LIVROB'!$G$523=1,IF(L831=6,M831*'Poliof40 - LIVROB'!$F$543,IF(L831=7,M831*'Poliof40 - LIVROB'!$F$544,0)),0)+N830</f>
        <v>198.26000000000002</v>
      </c>
      <c r="O831" s="15"/>
      <c r="P831" s="15"/>
      <c r="Q831" s="15"/>
      <c r="R831" s="15"/>
      <c r="S831" s="15"/>
      <c r="T831" s="15"/>
      <c r="U831" s="15"/>
      <c r="V831" s="15"/>
      <c r="W831" s="222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</row>
    <row r="832" spans="1:33" s="6" customFormat="1" ht="12.75" hidden="1">
      <c r="A832" s="15"/>
      <c r="B832" s="385" t="s">
        <v>304</v>
      </c>
      <c r="C832" s="371"/>
      <c r="D832" s="371"/>
      <c r="E832" s="366">
        <f>IF(C832=1,D832*'Poliof40 - LIVROB'!$F$554,IF(C832=2,D832*'Poliof40 - LIVROB'!$F$555,IF(C832=3,D832*'Poliof40 - LIVROB'!$F$556,IF(C832=4,D832*'Poliof40 - LIVROB'!$F$557,IF(C832=5,D832*'Poliof40 - LIVROB'!$F$558,0)))))+IF('Poliof40 - LIVROB'!$G$523=1,IF(C832=6,D832*'Poliof40 - LIVROB'!$F$543,IF(C832=7,D832*'Poliof40 - LIVROB'!$F$544,0)),0)+E831</f>
        <v>150.51</v>
      </c>
      <c r="F832" s="371"/>
      <c r="G832" s="371"/>
      <c r="H832" s="366">
        <f>IF(F832=1,G832*'Poliof40 - LIVROB'!$F$554,IF(F832=2,G832*'Poliof40 - LIVROB'!$F$555,IF(F832=3,G832*'Poliof40 - LIVROB'!$F$556,IF(F832=4,G832*'Poliof40 - LIVROB'!$F$557,IF(F832=5,G832*'Poliof40 - LIVROB'!$F$558,0)))))+IF('Poliof40 - LIVROB'!$G$523=1,IF(F832=6,G832*'Poliof40 - LIVROB'!$F$543,IF(F832=7,G832*'Poliof40 - LIVROB'!$F$544,0)),0)+H831</f>
        <v>152.62</v>
      </c>
      <c r="I832" s="371"/>
      <c r="J832" s="371"/>
      <c r="K832" s="366">
        <f>IF(I832=1,J832*'Poliof40 - LIVROB'!$F$554,IF(I832=2,J832*'Poliof40 - LIVROB'!$F$555,IF(I832=3,J832*'Poliof40 - LIVROB'!$F$556,IF(I832=4,J832*'Poliof40 - LIVROB'!$F$557,IF(I832=5,J832*'Poliof40 - LIVROB'!$F$558,0)))))+IF('Poliof40 - LIVROB'!$G$523=1,IF(I832=6,J832*'Poliof40 - LIVROB'!$F$543,IF(I832=7,J832*'Poliof40 - LIVROB'!$F$544,0)),0)+K831</f>
        <v>137.89000000000001</v>
      </c>
      <c r="L832" s="371"/>
      <c r="M832" s="371"/>
      <c r="N832" s="366">
        <f>IF(L832=1,M832*'Poliof40 - LIVROB'!$F$554,IF(L832=2,M832*'Poliof40 - LIVROB'!$F$555,IF(L832=3,M832*'Poliof40 - LIVROB'!$F$556,IF(L832=4,M832*'Poliof40 - LIVROB'!$F$557,IF(L832=5,M832*'Poliof40 - LIVROB'!$F$558,0)))))+IF('Poliof40 - LIVROB'!$G$523=1,IF(L832=6,M832*'Poliof40 - LIVROB'!$F$543,IF(L832=7,M832*'Poliof40 - LIVROB'!$F$544,0)),0)+N831</f>
        <v>198.26000000000002</v>
      </c>
      <c r="O832" s="15"/>
      <c r="P832" s="15"/>
      <c r="Q832" s="15"/>
      <c r="R832" s="15"/>
      <c r="S832" s="15"/>
      <c r="T832" s="15"/>
      <c r="U832" s="15"/>
      <c r="V832" s="15"/>
      <c r="W832" s="222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</row>
    <row r="833" spans="1:33" s="6" customFormat="1" ht="13.5" hidden="1" thickBot="1">
      <c r="A833" s="15"/>
      <c r="B833" s="48" t="s">
        <v>0</v>
      </c>
      <c r="C833" s="371"/>
      <c r="D833" s="371"/>
      <c r="E833" s="53">
        <f>IF(C833=1,D833*'Poliof40 - LIVROB'!$F$554,IF(C833=2,D833*'Poliof40 - LIVROB'!$F$555,IF(C833=3,D833*'Poliof40 - LIVROB'!$F$556,IF(C833=4,D833*'Poliof40 - LIVROB'!$F$557,IF(C833=5,D833*'Poliof40 - LIVROB'!$F$558,0)))))+IF('Poliof40 - LIVROB'!$G$523=1,IF(C833=6,D833*'Poliof40 - LIVROB'!$F$543,IF(C833=7,D833*'Poliof40 - LIVROB'!$F$544,0)),0)+E832</f>
        <v>150.51</v>
      </c>
      <c r="F833" s="371"/>
      <c r="G833" s="371"/>
      <c r="H833" s="53">
        <f>IF(F833=1,G833*'Poliof40 - LIVROB'!$F$554,IF(F833=2,G833*'Poliof40 - LIVROB'!$F$555,IF(F833=3,G833*'Poliof40 - LIVROB'!$F$556,IF(F833=4,G833*'Poliof40 - LIVROB'!$F$557,IF(F833=5,G833*'Poliof40 - LIVROB'!$F$558,0)))))+IF('Poliof40 - LIVROB'!$G$523=1,IF(F833=6,G833*'Poliof40 - LIVROB'!$F$543,IF(F833=7,G833*'Poliof40 - LIVROB'!$F$544,0)),0)+H832</f>
        <v>152.62</v>
      </c>
      <c r="I833" s="371"/>
      <c r="J833" s="371"/>
      <c r="K833" s="53">
        <f>IF(I833=1,J833*'Poliof40 - LIVROB'!$F$554,IF(I833=2,J833*'Poliof40 - LIVROB'!$F$555,IF(I833=3,J833*'Poliof40 - LIVROB'!$F$556,IF(I833=4,J833*'Poliof40 - LIVROB'!$F$557,IF(I833=5,J833*'Poliof40 - LIVROB'!$F$558,0)))))+IF('Poliof40 - LIVROB'!$G$523=1,IF(I833=6,J833*'Poliof40 - LIVROB'!$F$543,IF(I833=7,J833*'Poliof40 - LIVROB'!$F$544,0)),0)+K832</f>
        <v>137.89000000000001</v>
      </c>
      <c r="L833" s="371"/>
      <c r="M833" s="371"/>
      <c r="N833" s="53">
        <f>IF(L833=1,M833*'Poliof40 - LIVROB'!$F$554,IF(L833=2,M833*'Poliof40 - LIVROB'!$F$555,IF(L833=3,M833*'Poliof40 - LIVROB'!$F$556,IF(L833=4,M833*'Poliof40 - LIVROB'!$F$557,IF(L833=5,M833*'Poliof40 - LIVROB'!$F$558,0)))))+IF('Poliof40 - LIVROB'!$G$523=1,IF(L833=6,M833*'Poliof40 - LIVROB'!$F$543,IF(L833=7,M833*'Poliof40 - LIVROB'!$F$544,0)),0)+N832</f>
        <v>198.26000000000002</v>
      </c>
      <c r="O833" s="15"/>
      <c r="P833" s="15"/>
      <c r="Q833" s="15"/>
      <c r="R833" s="15"/>
      <c r="S833" s="15"/>
      <c r="T833" s="15"/>
      <c r="U833" s="15"/>
      <c r="V833" s="15"/>
      <c r="W833" s="222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</row>
    <row r="834" spans="1:33" s="6" customFormat="1" ht="14.25" hidden="1" thickBot="1" thickTop="1">
      <c r="A834" s="15"/>
      <c r="B834" s="372" t="s">
        <v>0</v>
      </c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15"/>
      <c r="P834" s="15"/>
      <c r="Q834" s="15"/>
      <c r="R834" s="15"/>
      <c r="S834" s="15"/>
      <c r="T834" s="15"/>
      <c r="U834" s="15"/>
      <c r="V834" s="15"/>
      <c r="W834" s="222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</row>
    <row r="835" spans="1:33" s="6" customFormat="1" ht="18" customHeight="1" hidden="1" thickBot="1" thickTop="1">
      <c r="A835" s="15"/>
      <c r="B835" s="322"/>
      <c r="C835" s="323"/>
      <c r="D835" s="324"/>
      <c r="E835" s="324" t="s">
        <v>270</v>
      </c>
      <c r="F835" s="325">
        <f>MAXA(E833,H833,K833,N833)</f>
        <v>198.26000000000002</v>
      </c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222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</row>
    <row r="836" spans="1:33" s="6" customFormat="1" ht="14.25" hidden="1" thickBot="1" thickTop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222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</row>
    <row r="837" spans="1:33" s="6" customFormat="1" ht="13.5" hidden="1" thickTop="1">
      <c r="A837" s="15"/>
      <c r="B837" s="200" t="s">
        <v>0</v>
      </c>
      <c r="C837" s="189" t="s">
        <v>271</v>
      </c>
      <c r="D837" s="189"/>
      <c r="E837" s="68"/>
      <c r="F837" s="191" t="s">
        <v>272</v>
      </c>
      <c r="G837" s="68"/>
      <c r="H837" s="191"/>
      <c r="I837" s="198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222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</row>
    <row r="838" spans="1:33" s="6" customFormat="1" ht="12.75" hidden="1">
      <c r="A838" s="15"/>
      <c r="B838" s="195"/>
      <c r="C838" s="190" t="s">
        <v>273</v>
      </c>
      <c r="D838" s="190" t="s">
        <v>274</v>
      </c>
      <c r="E838" s="72"/>
      <c r="F838" s="239" t="s">
        <v>293</v>
      </c>
      <c r="G838" s="72"/>
      <c r="H838" s="192" t="s">
        <v>276</v>
      </c>
      <c r="I838" s="199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222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</row>
    <row r="839" spans="1:33" s="6" customFormat="1" ht="12.75" hidden="1">
      <c r="A839" s="15"/>
      <c r="B839" s="196"/>
      <c r="C839" s="71"/>
      <c r="D839" s="71"/>
      <c r="E839" s="71"/>
      <c r="F839" s="71"/>
      <c r="G839" s="71"/>
      <c r="H839" s="71"/>
      <c r="I839" s="62"/>
      <c r="J839" s="16" t="s">
        <v>0</v>
      </c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222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</row>
    <row r="840" spans="1:33" s="6" customFormat="1" ht="12.75" hidden="1">
      <c r="A840" s="15"/>
      <c r="B840" s="242" t="s">
        <v>294</v>
      </c>
      <c r="C840" s="187">
        <f>'Poliof40 - LIVROB'!$F$942</f>
        <v>4</v>
      </c>
      <c r="D840" s="186">
        <f>AB840</f>
        <v>4</v>
      </c>
      <c r="E840" s="71"/>
      <c r="F840" s="186">
        <f>AD840</f>
        <v>16</v>
      </c>
      <c r="G840" s="71"/>
      <c r="H840" s="387" t="str">
        <f>IF(AG840=1,"Sim","Não")</f>
        <v>Não</v>
      </c>
      <c r="I840" s="62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222"/>
      <c r="X840" s="15"/>
      <c r="Y840" s="15"/>
      <c r="Z840" s="15"/>
      <c r="AA840" s="15"/>
      <c r="AB840" s="26">
        <v>4</v>
      </c>
      <c r="AC840" s="15"/>
      <c r="AD840" s="26">
        <v>16</v>
      </c>
      <c r="AE840" s="15"/>
      <c r="AF840" s="26">
        <v>1</v>
      </c>
      <c r="AG840" s="119">
        <v>2</v>
      </c>
    </row>
    <row r="841" spans="1:33" s="6" customFormat="1" ht="12.75" hidden="1">
      <c r="A841" s="15"/>
      <c r="B841" s="193"/>
      <c r="C841" s="71"/>
      <c r="D841" s="71"/>
      <c r="E841" s="71"/>
      <c r="F841" s="71"/>
      <c r="G841" s="71"/>
      <c r="H841" s="71"/>
      <c r="I841" s="62"/>
      <c r="J841" s="16" t="s">
        <v>0</v>
      </c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222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</row>
    <row r="842" spans="1:33" s="6" customFormat="1" ht="12.75" hidden="1">
      <c r="A842" s="15"/>
      <c r="B842" s="242" t="s">
        <v>278</v>
      </c>
      <c r="C842" s="187">
        <f>'Poliof40 - LIVROB'!$F$955</f>
        <v>1</v>
      </c>
      <c r="D842" s="186">
        <f>AB842</f>
        <v>1</v>
      </c>
      <c r="E842" s="71"/>
      <c r="F842" s="71"/>
      <c r="G842" s="71"/>
      <c r="H842" s="71"/>
      <c r="I842" s="62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222"/>
      <c r="X842" s="15"/>
      <c r="Y842" s="15"/>
      <c r="Z842" s="15"/>
      <c r="AA842" s="15"/>
      <c r="AB842" s="26">
        <v>1</v>
      </c>
      <c r="AC842" s="15"/>
      <c r="AD842" s="15"/>
      <c r="AE842" s="15"/>
      <c r="AF842" s="15"/>
      <c r="AG842" s="15"/>
    </row>
    <row r="843" spans="1:33" s="6" customFormat="1" ht="12.75" hidden="1">
      <c r="A843" s="15"/>
      <c r="B843" s="196"/>
      <c r="C843" s="71"/>
      <c r="D843" s="71"/>
      <c r="E843" s="71"/>
      <c r="F843" s="71"/>
      <c r="G843" s="71"/>
      <c r="H843" s="71"/>
      <c r="I843" s="62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222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</row>
    <row r="844" spans="1:33" s="6" customFormat="1" ht="13.5" hidden="1" thickBot="1">
      <c r="A844" s="15"/>
      <c r="B844" s="201"/>
      <c r="C844" s="50"/>
      <c r="D844" s="50"/>
      <c r="E844" s="50"/>
      <c r="F844" s="50"/>
      <c r="G844" s="50"/>
      <c r="H844" s="50"/>
      <c r="I844" s="66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222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</row>
    <row r="845" spans="1:33" s="6" customFormat="1" ht="13.5" hidden="1" thickTop="1">
      <c r="A845" s="15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222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</row>
    <row r="846" spans="1:33" s="6" customFormat="1" ht="12.75" hidden="1">
      <c r="A846" s="15"/>
      <c r="B846" s="15"/>
      <c r="C846" s="16"/>
      <c r="D846" s="16"/>
      <c r="E846" s="16"/>
      <c r="F846" s="16"/>
      <c r="G846" s="16"/>
      <c r="H846" s="16"/>
      <c r="I846" s="16"/>
      <c r="J846" s="16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222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</row>
    <row r="847" spans="1:33" s="6" customFormat="1" ht="12.75" hidden="1">
      <c r="A847" s="15"/>
      <c r="B847" s="15"/>
      <c r="C847" s="16"/>
      <c r="D847" s="16"/>
      <c r="E847" s="16"/>
      <c r="F847" s="16"/>
      <c r="G847" s="16"/>
      <c r="H847" s="16"/>
      <c r="I847" s="16"/>
      <c r="J847" s="16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222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</row>
    <row r="848" spans="1:33" s="6" customFormat="1" ht="18" hidden="1">
      <c r="A848" s="15"/>
      <c r="B848" s="72"/>
      <c r="C848" s="16"/>
      <c r="D848" s="16"/>
      <c r="E848" s="270" t="s">
        <v>305</v>
      </c>
      <c r="F848" s="268"/>
      <c r="G848" s="268"/>
      <c r="H848" s="271"/>
      <c r="I848" s="16"/>
      <c r="J848" s="16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222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</row>
    <row r="849" spans="1:33" s="6" customFormat="1" ht="12.75" hidden="1">
      <c r="A849" s="15"/>
      <c r="B849" s="15"/>
      <c r="C849" s="16"/>
      <c r="D849" s="16"/>
      <c r="E849" s="16"/>
      <c r="F849" s="16"/>
      <c r="G849" s="16"/>
      <c r="H849" s="16"/>
      <c r="I849" s="16"/>
      <c r="J849" s="16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222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</row>
    <row r="850" spans="1:33" s="6" customFormat="1" ht="12.75" hidden="1">
      <c r="A850" s="15"/>
      <c r="B850" s="15"/>
      <c r="C850" s="16"/>
      <c r="D850" s="16"/>
      <c r="E850" s="16"/>
      <c r="F850" s="16"/>
      <c r="G850" s="16"/>
      <c r="H850" s="16"/>
      <c r="I850" s="16"/>
      <c r="J850" s="16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222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</row>
    <row r="851" spans="1:33" s="177" customFormat="1" ht="15.75" hidden="1">
      <c r="A851" s="27"/>
      <c r="B851" s="180"/>
      <c r="C851" s="209" t="s">
        <v>306</v>
      </c>
      <c r="D851" s="176"/>
      <c r="E851" s="176"/>
      <c r="F851" s="176"/>
      <c r="G851" s="176"/>
      <c r="H851" s="176"/>
      <c r="I851" s="176"/>
      <c r="J851" s="176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33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</row>
    <row r="852" spans="1:33" s="6" customFormat="1" ht="13.5" hidden="1" thickBo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222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</row>
    <row r="853" spans="1:33" s="6" customFormat="1" ht="14.25" hidden="1" thickBot="1" thickTop="1">
      <c r="A853" s="15"/>
      <c r="B853" s="36"/>
      <c r="C853" s="39" t="s">
        <v>286</v>
      </c>
      <c r="D853" s="57" t="s">
        <v>217</v>
      </c>
      <c r="E853" s="86"/>
      <c r="F853" s="37"/>
      <c r="G853" s="38" t="s">
        <v>218</v>
      </c>
      <c r="H853" s="39"/>
      <c r="I853" s="37"/>
      <c r="J853" s="38" t="s">
        <v>219</v>
      </c>
      <c r="K853" s="39"/>
      <c r="L853" s="37"/>
      <c r="M853" s="38" t="s">
        <v>220</v>
      </c>
      <c r="N853" s="39"/>
      <c r="O853" s="40" t="s">
        <v>221</v>
      </c>
      <c r="P853" s="40" t="s">
        <v>222</v>
      </c>
      <c r="Q853" s="40" t="s">
        <v>232</v>
      </c>
      <c r="R853" s="40" t="s">
        <v>224</v>
      </c>
      <c r="S853" s="40" t="s">
        <v>225</v>
      </c>
      <c r="T853" s="40" t="s">
        <v>226</v>
      </c>
      <c r="U853" s="40" t="s">
        <v>227</v>
      </c>
      <c r="V853" s="41" t="s">
        <v>228</v>
      </c>
      <c r="W853" s="222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</row>
    <row r="854" spans="1:33" s="6" customFormat="1" ht="13.5" hidden="1" thickTop="1">
      <c r="A854" s="15"/>
      <c r="B854" s="82" t="s">
        <v>131</v>
      </c>
      <c r="C854" s="88">
        <f>IF('Poliof40 - LIVROB'!$K$256&gt;0,('Poliof40 - LIVROB'!$B$260+'Poliof40 - LIVROB'!$C$260)/'Poliof40 - LIVROB'!$K$256,0)</f>
        <v>0</v>
      </c>
      <c r="D854" s="89">
        <f>IF('Poliof40 - LIVROB'!$K$256&gt;0,('Poliof40 - LIVROB'!$D$260)/'Poliof40 - LIVROB'!$K$256,0)</f>
        <v>14.117647058823529</v>
      </c>
      <c r="E854" s="90"/>
      <c r="F854" s="83"/>
      <c r="G854" s="91">
        <f>IF('Poliof40 - LIVROB'!$K$256&gt;0,('Poliof40 - LIVROB'!$E$260)/'Poliof40 - LIVROB'!$K$256,0)</f>
        <v>25.88235294117647</v>
      </c>
      <c r="H854" s="84"/>
      <c r="I854" s="83"/>
      <c r="J854" s="91">
        <f>IF('Poliof40 - LIVROB'!$K$256&gt;0,('Poliof40 - LIVROB'!$F$260)/'Poliof40 - LIVROB'!$K$256,0)</f>
        <v>34.11764705882353</v>
      </c>
      <c r="K854" s="84"/>
      <c r="L854" s="83"/>
      <c r="M854" s="91">
        <f>IF('Poliof40 - LIVROB'!$K$256&gt;0,('Poliof40 - LIVROB'!$G$260)/'Poliof40 - LIVROB'!$K$256,0)</f>
        <v>34.11764705882353</v>
      </c>
      <c r="N854" s="84"/>
      <c r="O854" s="88">
        <f>IF('Poliof40 - LIVROB'!$K$256&gt;0,('Poliof40 - LIVROB'!$H$260)/'Poliof40 - LIVROB'!$K$256,0)</f>
        <v>28.235294117647058</v>
      </c>
      <c r="P854" s="88">
        <f>IF('Poliof40 - LIVROB'!$K$256&gt;0,('Poliof40 - LIVROB'!$I$260)/'Poliof40 - LIVROB'!$K$256,0)</f>
        <v>40</v>
      </c>
      <c r="Q854" s="88">
        <f>IF('Poliof40 - LIVROB'!$K$256&gt;0,('Poliof40 - LIVROB'!$J$260)/'Poliof40 - LIVROB'!$K$256,0)</f>
        <v>40</v>
      </c>
      <c r="R854" s="88">
        <f>IF('Poliof40 - LIVROB'!$K$256&gt;0,('Poliof40 - LIVROB'!$K$260)/'Poliof40 - LIVROB'!$K$256,0)</f>
        <v>40</v>
      </c>
      <c r="S854" s="88">
        <f>IF('Poliof40 - LIVROB'!$K$256&gt;0,('Poliof40 - LIVROB'!$L$260)/'Poliof40 - LIVROB'!$K$256,0)</f>
        <v>40</v>
      </c>
      <c r="T854" s="88">
        <f>IF('Poliof40 - LIVROB'!$K$256&gt;0,('Poliof40 - LIVROB'!$M$260)/'Poliof40 - LIVROB'!$K$256,0)</f>
        <v>32.94117647058824</v>
      </c>
      <c r="U854" s="88">
        <f>IF('Poliof40 - LIVROB'!$K$256&gt;0,('Poliof40 - LIVROB'!$N$260)/'Poliof40 - LIVROB'!$K$256,0)</f>
        <v>0</v>
      </c>
      <c r="V854" s="85"/>
      <c r="W854" s="222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</row>
    <row r="855" spans="1:33" s="6" customFormat="1" ht="12.75" hidden="1">
      <c r="A855" s="15"/>
      <c r="B855" s="42" t="s">
        <v>132</v>
      </c>
      <c r="C855" s="99">
        <f>IF('Poliof40 - LIVROB'!$K$263&gt;0,('Poliof40 - LIVROB'!$B$267+'Poliof40 - LIVROB'!$C$267)/'Poliof40 - LIVROB'!$K$263,0)</f>
        <v>0</v>
      </c>
      <c r="D855" s="100">
        <f>IF('Poliof40 - LIVROB'!$K$263&gt;0,('Poliof40 - LIVROB'!$D$267)/'Poliof40 - LIVROB'!$K$263,0)</f>
        <v>17.647058823529413</v>
      </c>
      <c r="E855" s="101"/>
      <c r="F855" s="44"/>
      <c r="G855" s="102">
        <f>IF('Poliof40 - LIVROB'!$K$263&gt;0,('Poliof40 - LIVROB'!$E$267)/'Poliof40 - LIVROB'!$K$263,0)</f>
        <v>38.82352941176471</v>
      </c>
      <c r="H855" s="79"/>
      <c r="I855" s="44"/>
      <c r="J855" s="102">
        <f>IF('Poliof40 - LIVROB'!$K$263&gt;0,('Poliof40 - LIVROB'!$F$267)/'Poliof40 - LIVROB'!$K$263,0)</f>
        <v>72.94117647058823</v>
      </c>
      <c r="K855" s="79"/>
      <c r="L855" s="44"/>
      <c r="M855" s="102">
        <f>IF('Poliof40 - LIVROB'!$K$263&gt;0,('Poliof40 - LIVROB'!$G$267)/'Poliof40 - LIVROB'!$K$263,0)</f>
        <v>62.35294117647059</v>
      </c>
      <c r="N855" s="79"/>
      <c r="O855" s="99">
        <f>IF('Poliof40 - LIVROB'!$K$263&gt;0,('Poliof40 - LIVROB'!$H$267)/'Poliof40 - LIVROB'!$K$263,0)</f>
        <v>64.70588235294117</v>
      </c>
      <c r="P855" s="99">
        <f>IF('Poliof40 - LIVROB'!$K$263&gt;0,('Poliof40 - LIVROB'!$I$267)/'Poliof40 - LIVROB'!$K$263,0)</f>
        <v>55.294117647058826</v>
      </c>
      <c r="Q855" s="99">
        <f>IF('Poliof40 - LIVROB'!$K$263&gt;0,('Poliof40 - LIVROB'!$J$267)/'Poliof40 - LIVROB'!$K$263,0)</f>
        <v>85.88235294117648</v>
      </c>
      <c r="R855" s="99">
        <f>IF('Poliof40 - LIVROB'!$K$263&gt;0,('Poliof40 - LIVROB'!$K$267)/'Poliof40 - LIVROB'!$K$263,0)</f>
        <v>71.76470588235294</v>
      </c>
      <c r="S855" s="99">
        <f>IF('Poliof40 - LIVROB'!$K$263&gt;0,('Poliof40 - LIVROB'!$L$267)/'Poliof40 - LIVROB'!$K$263,0)</f>
        <v>65.88235294117648</v>
      </c>
      <c r="T855" s="99">
        <f>IF('Poliof40 - LIVROB'!$K$263&gt;0,('Poliof40 - LIVROB'!$M$267)/'Poliof40 - LIVROB'!$K$263,0)</f>
        <v>56.470588235294116</v>
      </c>
      <c r="U855" s="99">
        <f>IF('Poliof40 - LIVROB'!$K$263&gt;0,('Poliof40 - LIVROB'!$N$267)/'Poliof40 - LIVROB'!$K$263,0)</f>
        <v>0</v>
      </c>
      <c r="V855" s="81"/>
      <c r="W855" s="222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</row>
    <row r="856" spans="1:33" s="6" customFormat="1" ht="12.75" hidden="1">
      <c r="A856" s="15"/>
      <c r="B856" s="42" t="s">
        <v>133</v>
      </c>
      <c r="C856" s="99">
        <f>IF('Poliof40 - LIVROB'!$K$270&gt;0,('Poliof40 - LIVROB'!$B$274+'Poliof40 - LIVROB'!$C$274)/'Poliof40 - LIVROB'!$K$270,0)</f>
        <v>0</v>
      </c>
      <c r="D856" s="100">
        <f>IF('Poliof40 - LIVROB'!$K$270&gt;0,('Poliof40 - LIVROB'!$D$274)/'Poliof40 - LIVROB'!$K$270,0)</f>
        <v>15.294117647058824</v>
      </c>
      <c r="E856" s="101"/>
      <c r="F856" s="44"/>
      <c r="G856" s="102">
        <f>IF('Poliof40 - LIVROB'!$K$270&gt;0,('Poliof40 - LIVROB'!$E$274)/'Poliof40 - LIVROB'!$K$270,0)</f>
        <v>27.058823529411764</v>
      </c>
      <c r="H856" s="79"/>
      <c r="I856" s="44"/>
      <c r="J856" s="102">
        <f>IF('Poliof40 - LIVROB'!$K$270&gt;0,('Poliof40 - LIVROB'!$F$274)/'Poliof40 - LIVROB'!$K$270,0)</f>
        <v>36.470588235294116</v>
      </c>
      <c r="K856" s="79"/>
      <c r="L856" s="44"/>
      <c r="M856" s="102">
        <f>IF('Poliof40 - LIVROB'!$K$270&gt;0,('Poliof40 - LIVROB'!$G$274)/'Poliof40 - LIVROB'!$K$270,0)</f>
        <v>36.470588235294116</v>
      </c>
      <c r="N856" s="79"/>
      <c r="O856" s="99">
        <f>IF('Poliof40 - LIVROB'!$K$270&gt;0,('Poliof40 - LIVROB'!$H$274)/'Poliof40 - LIVROB'!$K$270,0)</f>
        <v>29.411764705882355</v>
      </c>
      <c r="P856" s="99">
        <f>IF('Poliof40 - LIVROB'!$K$270&gt;0,('Poliof40 - LIVROB'!$I$274)/'Poliof40 - LIVROB'!$K$270,0)</f>
        <v>42.35294117647059</v>
      </c>
      <c r="Q856" s="99">
        <f>IF('Poliof40 - LIVROB'!$K$270&gt;0,('Poliof40 - LIVROB'!$J$274)/'Poliof40 - LIVROB'!$K$270,0)</f>
        <v>42.35294117647059</v>
      </c>
      <c r="R856" s="99">
        <f>IF('Poliof40 - LIVROB'!$K$270&gt;0,('Poliof40 - LIVROB'!$K$274)/'Poliof40 - LIVROB'!$K$270,0)</f>
        <v>42.35294117647059</v>
      </c>
      <c r="S856" s="99">
        <f>IF('Poliof40 - LIVROB'!$K$270&gt;0,('Poliof40 - LIVROB'!$L$274)/'Poliof40 - LIVROB'!$K$270,0)</f>
        <v>42.35294117647059</v>
      </c>
      <c r="T856" s="99">
        <f>IF('Poliof40 - LIVROB'!$K$270&gt;0,('Poliof40 - LIVROB'!$M$274)/'Poliof40 - LIVROB'!$K$270,0)</f>
        <v>35.294117647058826</v>
      </c>
      <c r="U856" s="99">
        <f>IF('Poliof40 - LIVROB'!$K$270&gt;0,('Poliof40 - LIVROB'!$N$274)/'Poliof40 - LIVROB'!$K$270,0)</f>
        <v>0</v>
      </c>
      <c r="V856" s="81"/>
      <c r="W856" s="222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</row>
    <row r="857" spans="1:33" s="6" customFormat="1" ht="13.5" hidden="1" thickBot="1">
      <c r="A857" s="15"/>
      <c r="B857" s="48" t="s">
        <v>134</v>
      </c>
      <c r="C857" s="94">
        <f>IF('Poliof40 - LIVROB'!$K$277&gt;0,('Poliof40 - LIVROB'!$B$281+'Poliof40 - LIVROB'!$C$281)/'Poliof40 - LIVROB'!$K$277,0)</f>
        <v>0</v>
      </c>
      <c r="D857" s="95">
        <f>IF('Poliof40 - LIVROB'!$K$277&gt;0,('Poliof40 - LIVROB'!$D$281)/'Poliof40 - LIVROB'!$K$277,0)</f>
        <v>42.35294117647059</v>
      </c>
      <c r="E857" s="96"/>
      <c r="F857" s="50"/>
      <c r="G857" s="97">
        <f>IF('Poliof40 - LIVROB'!$K$277&gt;0,('Poliof40 - LIVROB'!$E$281)/'Poliof40 - LIVROB'!$K$277,0)</f>
        <v>54.11764705882353</v>
      </c>
      <c r="H857" s="80"/>
      <c r="I857" s="50"/>
      <c r="J857" s="97">
        <f>IF('Poliof40 - LIVROB'!$K$277&gt;0,('Poliof40 - LIVROB'!$F$281)/'Poliof40 - LIVROB'!$K$277,0)</f>
        <v>89.41176470588236</v>
      </c>
      <c r="K857" s="80"/>
      <c r="L857" s="50"/>
      <c r="M857" s="97">
        <f>IF('Poliof40 - LIVROB'!$K$277&gt;0,('Poliof40 - LIVROB'!$G$281)/'Poliof40 - LIVROB'!$K$277,0)</f>
        <v>78.82352941176471</v>
      </c>
      <c r="N857" s="80"/>
      <c r="O857" s="94">
        <f>IF('Poliof40 - LIVROB'!$K$277&gt;0,('Poliof40 - LIVROB'!$H$281)/'Poliof40 - LIVROB'!$K$277,0)</f>
        <v>90.58823529411765</v>
      </c>
      <c r="P857" s="94">
        <f>IF('Poliof40 - LIVROB'!$K$277&gt;0,('Poliof40 - LIVROB'!$I$281)/'Poliof40 - LIVROB'!$K$277,0)</f>
        <v>82.3529411764706</v>
      </c>
      <c r="Q857" s="94">
        <f>IF('Poliof40 - LIVROB'!$K$277&gt;0,('Poliof40 - LIVROB'!$J$281)/'Poliof40 - LIVROB'!$K$277,0)</f>
        <v>112.94117647058823</v>
      </c>
      <c r="R857" s="94">
        <f>IF('Poliof40 - LIVROB'!$K$277&gt;0,('Poliof40 - LIVROB'!$K$281)/'Poliof40 - LIVROB'!$K$277,0)</f>
        <v>98.82352941176471</v>
      </c>
      <c r="S857" s="94">
        <f>IF('Poliof40 - LIVROB'!$K$277&gt;0,('Poliof40 - LIVROB'!$L$281)/'Poliof40 - LIVROB'!$K$277,0)</f>
        <v>91.76470588235294</v>
      </c>
      <c r="T857" s="94">
        <f>IF('Poliof40 - LIVROB'!$K$277&gt;0,('Poliof40 - LIVROB'!$M$281)/'Poliof40 - LIVROB'!$K$277,0)</f>
        <v>83.52941176470588</v>
      </c>
      <c r="U857" s="94">
        <f>IF('Poliof40 - LIVROB'!$K$277&gt;0,('Poliof40 - LIVROB'!$N$281)/'Poliof40 - LIVROB'!$K$277,0)</f>
        <v>0</v>
      </c>
      <c r="V857" s="66"/>
      <c r="W857" s="222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</row>
    <row r="858" spans="1:33" s="6" customFormat="1" ht="13.5" hidden="1" thickTop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222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</row>
    <row r="859" spans="1:33" s="6" customFormat="1" ht="12.75" hidden="1">
      <c r="A859" s="15"/>
      <c r="B859" s="15"/>
      <c r="C859" s="15"/>
      <c r="D859" s="114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222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</row>
    <row r="860" spans="1:33" s="177" customFormat="1" ht="15.75" hidden="1">
      <c r="A860" s="27"/>
      <c r="B860" s="27"/>
      <c r="C860" s="27"/>
      <c r="D860" s="172" t="s">
        <v>307</v>
      </c>
      <c r="E860" s="176"/>
      <c r="F860" s="176"/>
      <c r="G860" s="176"/>
      <c r="H860" s="176"/>
      <c r="I860" s="176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33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</row>
    <row r="861" spans="1:33" s="6" customFormat="1" ht="13.5" hidden="1" thickBo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222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</row>
    <row r="862" spans="1:33" s="6" customFormat="1" ht="14.25" hidden="1" thickBot="1" thickTop="1">
      <c r="A862" s="15"/>
      <c r="B862" s="55" t="s">
        <v>257</v>
      </c>
      <c r="C862" s="56" t="s">
        <v>258</v>
      </c>
      <c r="D862" s="57"/>
      <c r="E862" s="58"/>
      <c r="F862" s="56" t="s">
        <v>259</v>
      </c>
      <c r="G862" s="57"/>
      <c r="H862" s="58"/>
      <c r="I862" s="56" t="s">
        <v>260</v>
      </c>
      <c r="J862" s="57"/>
      <c r="K862" s="58"/>
      <c r="L862" s="59" t="s">
        <v>261</v>
      </c>
      <c r="M862" s="57"/>
      <c r="N862" s="60"/>
      <c r="O862" s="15"/>
      <c r="P862" s="15"/>
      <c r="Q862" s="15"/>
      <c r="R862" s="15"/>
      <c r="S862" s="15"/>
      <c r="T862" s="15"/>
      <c r="U862" s="15"/>
      <c r="V862" s="15"/>
      <c r="W862" s="222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</row>
    <row r="863" spans="1:33" s="6" customFormat="1" ht="26.25" customHeight="1" hidden="1" thickTop="1">
      <c r="A863" s="15"/>
      <c r="B863" s="61"/>
      <c r="C863" s="367" t="s">
        <v>290</v>
      </c>
      <c r="D863" s="368" t="s">
        <v>263</v>
      </c>
      <c r="E863" s="238" t="s">
        <v>264</v>
      </c>
      <c r="F863" s="367" t="s">
        <v>290</v>
      </c>
      <c r="G863" s="369" t="s">
        <v>263</v>
      </c>
      <c r="H863" s="238" t="s">
        <v>264</v>
      </c>
      <c r="I863" s="367" t="s">
        <v>290</v>
      </c>
      <c r="J863" s="369" t="s">
        <v>263</v>
      </c>
      <c r="K863" s="238" t="s">
        <v>264</v>
      </c>
      <c r="L863" s="367" t="s">
        <v>290</v>
      </c>
      <c r="M863" s="369" t="s">
        <v>263</v>
      </c>
      <c r="N863" s="238" t="s">
        <v>264</v>
      </c>
      <c r="O863" s="15"/>
      <c r="P863" s="15"/>
      <c r="Q863" s="15"/>
      <c r="R863" s="15"/>
      <c r="S863" s="15"/>
      <c r="T863" s="15"/>
      <c r="U863" s="15"/>
      <c r="V863" s="15"/>
      <c r="W863" s="222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</row>
    <row r="864" spans="1:33" s="6" customFormat="1" ht="12.75" hidden="1">
      <c r="A864" s="15"/>
      <c r="B864" s="61" t="s">
        <v>308</v>
      </c>
      <c r="C864" s="371">
        <v>1</v>
      </c>
      <c r="D864" s="371">
        <v>19</v>
      </c>
      <c r="E864" s="366">
        <f>IF(C864=1,D864*'Poliof40 - LIVROB'!$F$560,IF(C864=2,D864*'Poliof40 - LIVROB'!$F$561,IF(C864=3,D864*'Poliof40 - LIVROB'!$F$562,IF(C864=4,D864*'Poliof40 - LIVROB'!$F$563,0))))</f>
        <v>6.2700000000000005</v>
      </c>
      <c r="F864" s="371">
        <v>1</v>
      </c>
      <c r="G864" s="371">
        <v>26</v>
      </c>
      <c r="H864" s="366">
        <f>IF(F864=1,G864*'Poliof40 - LIVROB'!$F$560,IF(F864=2,G864*'Poliof40 - LIVROB'!$F$561,IF(F864=3,G864*'Poliof40 - LIVROB'!$F$562,IF(F864=4,G864*'Poliof40 - LIVROB'!$F$563,0))))</f>
        <v>8.58</v>
      </c>
      <c r="I864" s="371">
        <v>1</v>
      </c>
      <c r="J864" s="371">
        <v>34</v>
      </c>
      <c r="K864" s="366">
        <f>IF(I864=1,J864*'Poliof40 - LIVROB'!$F$560,IF(I864=2,J864*'Poliof40 - LIVROB'!$F$561,IF(I864=3,J864*'Poliof40 - LIVROB'!$F$562,IF(I864=4,J864*'Poliof40 - LIVROB'!$F$563,0))))</f>
        <v>11.22</v>
      </c>
      <c r="L864" s="371">
        <v>1</v>
      </c>
      <c r="M864" s="371">
        <v>34</v>
      </c>
      <c r="N864" s="366">
        <f>IF(L864=1,M864*'Poliof40 - LIVROB'!$F$560,IF(L864=2,M864*'Poliof40 - LIVROB'!$F$561,IF(L864=3,M864*'Poliof40 - LIVROB'!$F$562,IF(L864=4,M864*'Poliof40 - LIVROB'!$F$563,0))))</f>
        <v>11.22</v>
      </c>
      <c r="O864" s="15"/>
      <c r="P864" s="15"/>
      <c r="Q864" s="15"/>
      <c r="R864" s="15"/>
      <c r="S864" s="15"/>
      <c r="T864" s="15"/>
      <c r="U864" s="15"/>
      <c r="V864" s="15"/>
      <c r="W864" s="222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</row>
    <row r="865" spans="1:33" s="6" customFormat="1" ht="12.75" hidden="1">
      <c r="A865" s="15"/>
      <c r="B865" s="64"/>
      <c r="C865" s="371">
        <v>2</v>
      </c>
      <c r="D865" s="371">
        <v>58</v>
      </c>
      <c r="E865" s="366">
        <f>IF(C865=1,D865*'Poliof40 - LIVROB'!$F$560,IF(C865=2,D865*'Poliof40 - LIVROB'!$F$561,IF(C865=3,D865*'Poliof40 - LIVROB'!$F$562,IF(C865=4,D865*'Poliof40 - LIVROB'!$F$563,0))))+E864</f>
        <v>16.130000000000003</v>
      </c>
      <c r="F865" s="371">
        <v>2</v>
      </c>
      <c r="G865" s="371">
        <v>39</v>
      </c>
      <c r="H865" s="366">
        <f>IF(F865=1,G865*'Poliof40 - LIVROB'!$F$560,IF(F865=2,G865*'Poliof40 - LIVROB'!$F$561,IF(F865=3,G865*'Poliof40 - LIVROB'!$F$562,IF(F865=4,G865*'Poliof40 - LIVROB'!$F$563,0))))+H864</f>
        <v>15.21</v>
      </c>
      <c r="I865" s="371">
        <v>2</v>
      </c>
      <c r="J865" s="371">
        <v>73</v>
      </c>
      <c r="K865" s="366">
        <f>IF(I865=1,J865*'Poliof40 - LIVROB'!$F$560,IF(I865=2,J865*'Poliof40 - LIVROB'!$F$561,IF(I865=3,J865*'Poliof40 - LIVROB'!$F$562,IF(I865=4,J865*'Poliof40 - LIVROB'!$F$563,0))))+K864</f>
        <v>23.630000000000003</v>
      </c>
      <c r="L865" s="371">
        <v>2</v>
      </c>
      <c r="M865" s="371">
        <v>62</v>
      </c>
      <c r="N865" s="366">
        <f>IF(L865=1,M865*'Poliof40 - LIVROB'!$F$560,IF(L865=2,M865*'Poliof40 - LIVROB'!$F$561,IF(L865=3,M865*'Poliof40 - LIVROB'!$F$562,IF(L865=4,M865*'Poliof40 - LIVROB'!$F$563,0))))+N864</f>
        <v>21.76</v>
      </c>
      <c r="O865" s="15"/>
      <c r="P865" s="15"/>
      <c r="Q865" s="15"/>
      <c r="R865" s="15"/>
      <c r="S865" s="15"/>
      <c r="T865" s="15"/>
      <c r="U865" s="15"/>
      <c r="V865" s="15"/>
      <c r="W865" s="222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</row>
    <row r="866" spans="1:33" s="6" customFormat="1" ht="12.75" hidden="1">
      <c r="A866" s="15"/>
      <c r="B866" s="61" t="s">
        <v>309</v>
      </c>
      <c r="C866" s="371">
        <v>3</v>
      </c>
      <c r="D866" s="371">
        <v>27</v>
      </c>
      <c r="E866" s="366">
        <f>IF(C866=1,D866*'Poliof40 - LIVROB'!$F$560,IF(C866=2,D866*'Poliof40 - LIVROB'!$F$561,IF(C866=3,D866*'Poliof40 - LIVROB'!$F$562,IF(C866=4,D866*'Poliof40 - LIVROB'!$F$563,0))))+E865</f>
        <v>25.040000000000003</v>
      </c>
      <c r="F866" s="371">
        <v>3</v>
      </c>
      <c r="G866" s="371">
        <v>27</v>
      </c>
      <c r="H866" s="366">
        <f>IF(F866=1,G866*'Poliof40 - LIVROB'!$F$560,IF(F866=2,G866*'Poliof40 - LIVROB'!$F$561,IF(F866=3,G866*'Poliof40 - LIVROB'!$F$562,IF(F866=4,G866*'Poliof40 - LIVROB'!$F$563,0))))+H865</f>
        <v>24.12</v>
      </c>
      <c r="I866" s="371">
        <v>3</v>
      </c>
      <c r="J866" s="371">
        <v>36</v>
      </c>
      <c r="K866" s="366">
        <f>IF(I866=1,J866*'Poliof40 - LIVROB'!$F$560,IF(I866=2,J866*'Poliof40 - LIVROB'!$F$561,IF(I866=3,J866*'Poliof40 - LIVROB'!$F$562,IF(I866=4,J866*'Poliof40 - LIVROB'!$F$563,0))))+K865</f>
        <v>35.510000000000005</v>
      </c>
      <c r="L866" s="371">
        <v>3</v>
      </c>
      <c r="M866" s="371">
        <v>36</v>
      </c>
      <c r="N866" s="366">
        <f>IF(L866=1,M866*'Poliof40 - LIVROB'!$F$560,IF(L866=2,M866*'Poliof40 - LIVROB'!$F$561,IF(L866=3,M866*'Poliof40 - LIVROB'!$F$562,IF(L866=4,M866*'Poliof40 - LIVROB'!$F$563,0))))+N865</f>
        <v>33.64</v>
      </c>
      <c r="O866" s="15"/>
      <c r="P866" s="15"/>
      <c r="Q866" s="15"/>
      <c r="R866" s="15"/>
      <c r="S866" s="15"/>
      <c r="T866" s="15"/>
      <c r="U866" s="15"/>
      <c r="V866" s="15"/>
      <c r="W866" s="222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</row>
    <row r="867" spans="1:33" s="6" customFormat="1" ht="12.75" hidden="1">
      <c r="A867" s="15"/>
      <c r="B867" s="64"/>
      <c r="C867" s="371">
        <v>4</v>
      </c>
      <c r="D867" s="371">
        <v>89</v>
      </c>
      <c r="E867" s="366">
        <f>IF(C867=1,D867*'Poliof40 - LIVROB'!$F$560,IF(C867=2,D867*'Poliof40 - LIVROB'!$F$561,IF(C867=3,D867*'Poliof40 - LIVROB'!$F$562,IF(C867=4,D867*'Poliof40 - LIVROB'!$F$563,0))))+E866</f>
        <v>47.290000000000006</v>
      </c>
      <c r="F867" s="371">
        <v>4</v>
      </c>
      <c r="G867" s="371">
        <v>93</v>
      </c>
      <c r="H867" s="366">
        <f>IF(F867=1,G867*'Poliof40 - LIVROB'!$F$560,IF(F867=2,G867*'Poliof40 - LIVROB'!$F$561,IF(F867=3,G867*'Poliof40 - LIVROB'!$F$562,IF(F867=4,G867*'Poliof40 - LIVROB'!$F$563,0))))+H866</f>
        <v>47.370000000000005</v>
      </c>
      <c r="I867" s="371">
        <v>4</v>
      </c>
      <c r="J867" s="371">
        <v>59</v>
      </c>
      <c r="K867" s="366">
        <f>IF(I867=1,J867*'Poliof40 - LIVROB'!$F$560,IF(I867=2,J867*'Poliof40 - LIVROB'!$F$561,IF(I867=3,J867*'Poliof40 - LIVROB'!$F$562,IF(I867=4,J867*'Poliof40 - LIVROB'!$F$563,0))))+K866</f>
        <v>50.260000000000005</v>
      </c>
      <c r="L867" s="371">
        <v>4</v>
      </c>
      <c r="M867" s="371">
        <v>70</v>
      </c>
      <c r="N867" s="366">
        <f>IF(L867=1,M867*'Poliof40 - LIVROB'!$F$560,IF(L867=2,M867*'Poliof40 - LIVROB'!$F$561,IF(L867=3,M867*'Poliof40 - LIVROB'!$F$562,IF(L867=4,M867*'Poliof40 - LIVROB'!$F$563,0))))+N866</f>
        <v>51.14</v>
      </c>
      <c r="O867" s="15"/>
      <c r="P867" s="15"/>
      <c r="Q867" s="15"/>
      <c r="R867" s="15"/>
      <c r="S867" s="15"/>
      <c r="T867" s="15"/>
      <c r="U867" s="15"/>
      <c r="V867" s="15"/>
      <c r="W867" s="222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</row>
    <row r="868" spans="1:33" s="6" customFormat="1" ht="12.75" hidden="1">
      <c r="A868" s="15"/>
      <c r="B868" s="61" t="s">
        <v>310</v>
      </c>
      <c r="C868" s="371"/>
      <c r="D868" s="371"/>
      <c r="E868" s="366">
        <f>IF(C868=1,D868*'Poliof40 - LIVROB'!$F$560,IF(C868=2,D868*'Poliof40 - LIVROB'!$F$561,IF(C868=3,D868*'Poliof40 - LIVROB'!$F$562,IF(C868=4,D868*'Poliof40 - LIVROB'!$F$563,0))))+E867</f>
        <v>47.290000000000006</v>
      </c>
      <c r="F868" s="371"/>
      <c r="G868" s="371"/>
      <c r="H868" s="366">
        <f>IF(F868=1,G868*'Poliof40 - LIVROB'!$F$560,IF(F868=2,G868*'Poliof40 - LIVROB'!$F$561,IF(F868=3,G868*'Poliof40 - LIVROB'!$F$562,IF(F868=4,G868*'Poliof40 - LIVROB'!$F$563,0))))+H867</f>
        <v>47.370000000000005</v>
      </c>
      <c r="I868" s="371"/>
      <c r="J868" s="371"/>
      <c r="K868" s="366">
        <f>IF(I868=1,J868*'Poliof40 - LIVROB'!$F$560,IF(I868=2,J868*'Poliof40 - LIVROB'!$F$561,IF(I868=3,J868*'Poliof40 - LIVROB'!$F$562,IF(I868=4,J868*'Poliof40 - LIVROB'!$F$563,0))))+K867</f>
        <v>50.260000000000005</v>
      </c>
      <c r="L868" s="371"/>
      <c r="M868" s="371"/>
      <c r="N868" s="366">
        <f>IF(L868=1,M868*'Poliof40 - LIVROB'!$F$560,IF(L868=2,M868*'Poliof40 - LIVROB'!$F$561,IF(L868=3,M868*'Poliof40 - LIVROB'!$F$562,IF(L868=4,M868*'Poliof40 - LIVROB'!$F$563,0))))+N867</f>
        <v>51.14</v>
      </c>
      <c r="O868" s="15"/>
      <c r="P868" s="15"/>
      <c r="Q868" s="15"/>
      <c r="R868" s="15"/>
      <c r="S868" s="15"/>
      <c r="T868" s="15"/>
      <c r="U868" s="15"/>
      <c r="V868" s="15"/>
      <c r="W868" s="222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</row>
    <row r="869" spans="1:33" s="6" customFormat="1" ht="12.75" hidden="1">
      <c r="A869" s="15"/>
      <c r="B869" s="64"/>
      <c r="C869" s="371"/>
      <c r="D869" s="371"/>
      <c r="E869" s="366">
        <f>IF(C869=1,D869*'Poliof40 - LIVROB'!$F$560,IF(C869=2,D869*'Poliof40 - LIVROB'!$F$561,IF(C869=3,D869*'Poliof40 - LIVROB'!$F$562,IF(C869=4,D869*'Poliof40 - LIVROB'!$F$563,0))))+E868</f>
        <v>47.290000000000006</v>
      </c>
      <c r="F869" s="371"/>
      <c r="G869" s="371"/>
      <c r="H869" s="366">
        <f>IF(F869=1,G869*'Poliof40 - LIVROB'!$F$560,IF(F869=2,G869*'Poliof40 - LIVROB'!$F$561,IF(F869=3,G869*'Poliof40 - LIVROB'!$F$562,IF(F869=4,G869*'Poliof40 - LIVROB'!$F$563,0))))+H868</f>
        <v>47.370000000000005</v>
      </c>
      <c r="I869" s="371"/>
      <c r="J869" s="371"/>
      <c r="K869" s="366">
        <f>IF(I869=1,J869*'Poliof40 - LIVROB'!$F$560,IF(I869=2,J869*'Poliof40 - LIVROB'!$F$561,IF(I869=3,J869*'Poliof40 - LIVROB'!$F$562,IF(I869=4,J869*'Poliof40 - LIVROB'!$F$563,0))))+K868</f>
        <v>50.260000000000005</v>
      </c>
      <c r="L869" s="371"/>
      <c r="M869" s="371"/>
      <c r="N869" s="366">
        <f>IF(L869=1,M869*'Poliof40 - LIVROB'!$F$560,IF(L869=2,M869*'Poliof40 - LIVROB'!$F$561,IF(L869=3,M869*'Poliof40 - LIVROB'!$F$562,IF(L869=4,M869*'Poliof40 - LIVROB'!$F$563,0))))+N868</f>
        <v>51.14</v>
      </c>
      <c r="O869" s="15"/>
      <c r="P869" s="15"/>
      <c r="Q869" s="15"/>
      <c r="R869" s="15"/>
      <c r="S869" s="15"/>
      <c r="T869" s="15"/>
      <c r="U869" s="15"/>
      <c r="V869" s="15"/>
      <c r="W869" s="222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</row>
    <row r="870" spans="1:33" s="6" customFormat="1" ht="12.75" hidden="1">
      <c r="A870" s="15"/>
      <c r="B870" s="61" t="s">
        <v>311</v>
      </c>
      <c r="C870" s="371"/>
      <c r="D870" s="371"/>
      <c r="E870" s="366">
        <f>IF(C870=1,D870*'Poliof40 - LIVROB'!$F$560,IF(C870=2,D870*'Poliof40 - LIVROB'!$F$561,IF(C870=3,D870*'Poliof40 - LIVROB'!$F$562,IF(C870=4,D870*'Poliof40 - LIVROB'!$F$563,0))))+E869</f>
        <v>47.290000000000006</v>
      </c>
      <c r="F870" s="371"/>
      <c r="G870" s="371"/>
      <c r="H870" s="366">
        <f>IF(F870=1,G870*'Poliof40 - LIVROB'!$F$560,IF(F870=2,G870*'Poliof40 - LIVROB'!$F$561,IF(F870=3,G870*'Poliof40 - LIVROB'!$F$562,IF(F870=4,G870*'Poliof40 - LIVROB'!$F$563,0))))+H869</f>
        <v>47.370000000000005</v>
      </c>
      <c r="I870" s="371"/>
      <c r="J870" s="371"/>
      <c r="K870" s="366">
        <f>IF(I870=1,J870*'Poliof40 - LIVROB'!$F$560,IF(I870=2,J870*'Poliof40 - LIVROB'!$F$561,IF(I870=3,J870*'Poliof40 - LIVROB'!$F$562,IF(I870=4,J870*'Poliof40 - LIVROB'!$F$563,0))))+K869</f>
        <v>50.260000000000005</v>
      </c>
      <c r="L870" s="371"/>
      <c r="M870" s="371"/>
      <c r="N870" s="366">
        <f>IF(L870=1,M870*'Poliof40 - LIVROB'!$F$560,IF(L870=2,M870*'Poliof40 - LIVROB'!$F$561,IF(L870=3,M870*'Poliof40 - LIVROB'!$F$562,IF(L870=4,M870*'Poliof40 - LIVROB'!$F$563,0))))+N869</f>
        <v>51.14</v>
      </c>
      <c r="O870" s="15"/>
      <c r="P870" s="15"/>
      <c r="Q870" s="15"/>
      <c r="R870" s="15"/>
      <c r="S870" s="15"/>
      <c r="T870" s="15"/>
      <c r="U870" s="15"/>
      <c r="V870" s="15"/>
      <c r="W870" s="222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</row>
    <row r="871" spans="1:33" s="6" customFormat="1" ht="13.5" hidden="1" thickBot="1">
      <c r="A871" s="15"/>
      <c r="B871" s="65"/>
      <c r="C871" s="371"/>
      <c r="D871" s="371"/>
      <c r="E871" s="53">
        <f>IF(C871=1,D871*'Poliof40 - LIVROB'!$F$560,IF(C871=2,D871*'Poliof40 - LIVROB'!$F$561,IF(C871=3,D871*'Poliof40 - LIVROB'!$F$562,IF(C871=4,D871*'Poliof40 - LIVROB'!$F$563,0))))+E870</f>
        <v>47.290000000000006</v>
      </c>
      <c r="F871" s="371"/>
      <c r="G871" s="371"/>
      <c r="H871" s="53">
        <f>IF(F871=1,G871*'Poliof40 - LIVROB'!$F$560,IF(F871=2,G871*'Poliof40 - LIVROB'!$F$561,IF(F871=3,G871*'Poliof40 - LIVROB'!$F$562,IF(F871=4,G871*'Poliof40 - LIVROB'!$F$563,0))))+H870</f>
        <v>47.370000000000005</v>
      </c>
      <c r="I871" s="371"/>
      <c r="J871" s="371"/>
      <c r="K871" s="53">
        <f>IF(I871=1,J871*'Poliof40 - LIVROB'!$F$560,IF(I871=2,J871*'Poliof40 - LIVROB'!$F$561,IF(I871=3,J871*'Poliof40 - LIVROB'!$F$562,IF(I871=4,J871*'Poliof40 - LIVROB'!$F$563,0))))+K870</f>
        <v>50.260000000000005</v>
      </c>
      <c r="L871" s="371"/>
      <c r="M871" s="371"/>
      <c r="N871" s="53">
        <f>IF(L871=1,M871*'Poliof40 - LIVROB'!$F$560,IF(L871=2,M871*'Poliof40 - LIVROB'!$F$561,IF(L871=3,M871*'Poliof40 - LIVROB'!$F$562,IF(L871=4,M871*'Poliof40 - LIVROB'!$F$563,0))))+N870</f>
        <v>51.14</v>
      </c>
      <c r="O871" s="15"/>
      <c r="P871" s="15"/>
      <c r="Q871" s="15"/>
      <c r="R871" s="15"/>
      <c r="S871" s="15"/>
      <c r="T871" s="15"/>
      <c r="U871" s="15"/>
      <c r="V871" s="15"/>
      <c r="W871" s="222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</row>
    <row r="872" spans="1:33" s="6" customFormat="1" ht="14.25" hidden="1" thickBot="1" thickTop="1">
      <c r="A872" s="15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15"/>
      <c r="P872" s="15"/>
      <c r="Q872" s="15"/>
      <c r="R872" s="15"/>
      <c r="S872" s="15"/>
      <c r="T872" s="15"/>
      <c r="U872" s="15"/>
      <c r="V872" s="15"/>
      <c r="W872" s="222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</row>
    <row r="873" spans="1:33" s="6" customFormat="1" ht="18" customHeight="1" hidden="1" thickBot="1" thickTop="1">
      <c r="A873" s="15"/>
      <c r="B873" s="322"/>
      <c r="C873" s="323"/>
      <c r="D873" s="324"/>
      <c r="E873" s="324" t="s">
        <v>270</v>
      </c>
      <c r="F873" s="325">
        <f>MAXA(E871,H871,K871,N871)</f>
        <v>51.14</v>
      </c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222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</row>
    <row r="874" spans="1:33" s="6" customFormat="1" ht="18" customHeight="1" hidden="1" thickBot="1" thickTop="1">
      <c r="A874" s="15"/>
      <c r="B874" s="326"/>
      <c r="C874" s="326"/>
      <c r="D874" s="327"/>
      <c r="E874" s="327"/>
      <c r="F874" s="326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222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</row>
    <row r="875" spans="1:33" s="6" customFormat="1" ht="13.5" hidden="1" thickTop="1">
      <c r="A875" s="15"/>
      <c r="B875" s="67"/>
      <c r="C875" s="189" t="s">
        <v>271</v>
      </c>
      <c r="D875" s="189"/>
      <c r="E875" s="68"/>
      <c r="F875" s="191" t="s">
        <v>272</v>
      </c>
      <c r="G875" s="68"/>
      <c r="H875" s="191"/>
      <c r="I875" s="69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222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</row>
    <row r="876" spans="1:33" s="6" customFormat="1" ht="12.75" hidden="1">
      <c r="A876" s="15"/>
      <c r="B876" s="70"/>
      <c r="C876" s="190" t="s">
        <v>273</v>
      </c>
      <c r="D876" s="190" t="s">
        <v>274</v>
      </c>
      <c r="E876" s="72"/>
      <c r="F876" s="239" t="s">
        <v>275</v>
      </c>
      <c r="G876" s="72"/>
      <c r="H876" s="192" t="s">
        <v>276</v>
      </c>
      <c r="I876" s="73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222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</row>
    <row r="877" spans="1:33" s="6" customFormat="1" ht="12.75" hidden="1">
      <c r="A877" s="15"/>
      <c r="B877" s="70"/>
      <c r="C877" s="72"/>
      <c r="D877" s="74"/>
      <c r="E877" s="72"/>
      <c r="F877" s="74"/>
      <c r="G877" s="72"/>
      <c r="H877" s="74"/>
      <c r="I877" s="75"/>
      <c r="J877" s="16" t="s">
        <v>0</v>
      </c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222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</row>
    <row r="878" spans="1:33" s="6" customFormat="1" ht="12.75" hidden="1">
      <c r="A878" s="15"/>
      <c r="B878" s="241" t="s">
        <v>277</v>
      </c>
      <c r="C878" s="187">
        <f>IF('Poliof40 - LIVROB'!$G$942&gt;0,1,0)</f>
        <v>1</v>
      </c>
      <c r="D878" s="186">
        <f>AB878</f>
        <v>1</v>
      </c>
      <c r="E878" s="71"/>
      <c r="F878" s="186">
        <f>AD878</f>
        <v>16</v>
      </c>
      <c r="G878" s="71"/>
      <c r="H878" s="387" t="str">
        <f>IF(AG878=1,"Sim","Não")</f>
        <v>Não</v>
      </c>
      <c r="I878" s="73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222"/>
      <c r="X878" s="15"/>
      <c r="Y878" s="15"/>
      <c r="Z878" s="15"/>
      <c r="AA878" s="15"/>
      <c r="AB878" s="26">
        <v>1</v>
      </c>
      <c r="AC878" s="15"/>
      <c r="AD878" s="26">
        <v>16</v>
      </c>
      <c r="AE878" s="15"/>
      <c r="AF878" s="26">
        <v>2</v>
      </c>
      <c r="AG878" s="119">
        <v>2</v>
      </c>
    </row>
    <row r="879" spans="1:33" s="6" customFormat="1" ht="12.75" hidden="1">
      <c r="A879" s="15"/>
      <c r="B879" s="193"/>
      <c r="C879" s="71"/>
      <c r="D879" s="71"/>
      <c r="E879" s="71"/>
      <c r="F879" s="71"/>
      <c r="G879" s="71"/>
      <c r="H879" s="71"/>
      <c r="I879" s="75"/>
      <c r="J879" s="16" t="s">
        <v>0</v>
      </c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222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</row>
    <row r="880" spans="1:33" s="6" customFormat="1" ht="12.75" hidden="1">
      <c r="A880" s="15"/>
      <c r="B880" s="242" t="s">
        <v>278</v>
      </c>
      <c r="C880" s="187">
        <f>'Poliof40 - LIVROB'!$F$955</f>
        <v>1</v>
      </c>
      <c r="D880" s="186">
        <f>AB880</f>
        <v>1</v>
      </c>
      <c r="E880" s="71"/>
      <c r="F880" s="71"/>
      <c r="G880" s="71"/>
      <c r="H880" s="71"/>
      <c r="I880" s="73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222"/>
      <c r="X880" s="15"/>
      <c r="Y880" s="15"/>
      <c r="Z880" s="15"/>
      <c r="AA880" s="15"/>
      <c r="AB880" s="26">
        <v>1</v>
      </c>
      <c r="AC880" s="15"/>
      <c r="AD880" s="15"/>
      <c r="AE880" s="15"/>
      <c r="AF880" s="15"/>
      <c r="AG880" s="15"/>
    </row>
    <row r="881" spans="1:33" s="6" customFormat="1" ht="13.5" hidden="1" thickBot="1">
      <c r="A881" s="15"/>
      <c r="B881" s="76"/>
      <c r="C881" s="49"/>
      <c r="D881" s="77"/>
      <c r="E881" s="49"/>
      <c r="F881" s="49"/>
      <c r="G881" s="49"/>
      <c r="H881" s="49"/>
      <c r="I881" s="78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222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</row>
    <row r="882" spans="1:33" s="6" customFormat="1" ht="13.5" hidden="1" thickTop="1">
      <c r="A882" s="15"/>
      <c r="B882" s="15"/>
      <c r="C882" s="103"/>
      <c r="D882" s="103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222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</row>
    <row r="883" spans="1:33" s="232" customFormat="1" ht="13.5" hidden="1" thickBot="1">
      <c r="A883" s="123"/>
      <c r="B883" s="123"/>
      <c r="C883" s="123"/>
      <c r="D883" s="123"/>
      <c r="E883" s="123"/>
      <c r="F883" s="123"/>
      <c r="G883" s="123"/>
      <c r="H883" s="123"/>
      <c r="I883" s="123"/>
      <c r="J883" s="123"/>
      <c r="K883" s="123"/>
      <c r="L883" s="123"/>
      <c r="M883" s="123"/>
      <c r="N883" s="123"/>
      <c r="O883" s="123"/>
      <c r="P883" s="123"/>
      <c r="Q883" s="123"/>
      <c r="R883" s="123"/>
      <c r="S883" s="123"/>
      <c r="T883" s="123"/>
      <c r="U883" s="123"/>
      <c r="V883" s="123"/>
      <c r="W883" s="224"/>
      <c r="X883" s="123"/>
      <c r="Y883" s="123"/>
      <c r="Z883" s="123"/>
      <c r="AA883" s="123"/>
      <c r="AB883" s="123"/>
      <c r="AC883" s="123"/>
      <c r="AD883" s="123"/>
      <c r="AE883" s="123"/>
      <c r="AF883" s="123"/>
      <c r="AG883" s="123"/>
    </row>
    <row r="884" s="14" customFormat="1" ht="12.75" hidden="1" thickTop="1">
      <c r="W884" s="235"/>
    </row>
    <row r="885" s="13" customFormat="1" ht="12" hidden="1">
      <c r="W885" s="236"/>
    </row>
    <row r="886" s="13" customFormat="1" ht="12" hidden="1">
      <c r="W886" s="236"/>
    </row>
    <row r="887" s="13" customFormat="1" ht="12" hidden="1">
      <c r="W887" s="236"/>
    </row>
    <row r="888" s="13" customFormat="1" ht="12" hidden="1">
      <c r="W888" s="236"/>
    </row>
    <row r="889" s="13" customFormat="1" ht="12" hidden="1">
      <c r="W889" s="236"/>
    </row>
    <row r="890" s="13" customFormat="1" ht="12" hidden="1">
      <c r="W890" s="236"/>
    </row>
    <row r="891" s="13" customFormat="1" ht="12" hidden="1">
      <c r="W891" s="236"/>
    </row>
    <row r="892" s="13" customFormat="1" ht="12" hidden="1">
      <c r="W892" s="236"/>
    </row>
    <row r="893" s="13" customFormat="1" ht="12" hidden="1">
      <c r="W893" s="236"/>
    </row>
    <row r="894" s="13" customFormat="1" ht="12" hidden="1">
      <c r="W894" s="236"/>
    </row>
    <row r="895" s="13" customFormat="1" ht="12" hidden="1">
      <c r="W895" s="236"/>
    </row>
    <row r="896" s="13" customFormat="1" ht="12" hidden="1">
      <c r="W896" s="236"/>
    </row>
    <row r="897" s="13" customFormat="1" ht="12" hidden="1">
      <c r="W897" s="236"/>
    </row>
    <row r="898" s="13" customFormat="1" ht="12" hidden="1">
      <c r="W898" s="236"/>
    </row>
    <row r="899" s="13" customFormat="1" ht="12" hidden="1">
      <c r="W899" s="236"/>
    </row>
    <row r="900" s="13" customFormat="1" ht="12" hidden="1">
      <c r="W900" s="236"/>
    </row>
    <row r="901" s="13" customFormat="1" ht="12" hidden="1">
      <c r="W901" s="236"/>
    </row>
    <row r="902" s="13" customFormat="1" ht="12" hidden="1">
      <c r="W902" s="236"/>
    </row>
    <row r="903" s="13" customFormat="1" ht="12" hidden="1">
      <c r="W903" s="236"/>
    </row>
    <row r="904" s="13" customFormat="1" ht="12" hidden="1">
      <c r="W904" s="236"/>
    </row>
    <row r="905" s="13" customFormat="1" ht="12" hidden="1">
      <c r="W905" s="236"/>
    </row>
    <row r="906" s="13" customFormat="1" ht="12" hidden="1">
      <c r="W906" s="236"/>
    </row>
    <row r="907" s="13" customFormat="1" ht="12" hidden="1">
      <c r="W907" s="236"/>
    </row>
    <row r="908" s="13" customFormat="1" ht="12" hidden="1">
      <c r="W908" s="236"/>
    </row>
    <row r="909" s="13" customFormat="1" ht="12" hidden="1">
      <c r="W909" s="236"/>
    </row>
    <row r="910" s="13" customFormat="1" ht="12" hidden="1">
      <c r="W910" s="236"/>
    </row>
    <row r="911" s="13" customFormat="1" ht="12" hidden="1">
      <c r="W911" s="236"/>
    </row>
    <row r="912" s="13" customFormat="1" ht="12" hidden="1">
      <c r="W912" s="236"/>
    </row>
    <row r="913" s="13" customFormat="1" ht="12" hidden="1">
      <c r="W913" s="236"/>
    </row>
    <row r="914" s="13" customFormat="1" ht="12" hidden="1">
      <c r="W914" s="236"/>
    </row>
    <row r="915" s="13" customFormat="1" ht="12" hidden="1">
      <c r="W915" s="236"/>
    </row>
    <row r="916" s="13" customFormat="1" ht="12" hidden="1">
      <c r="W916" s="236"/>
    </row>
    <row r="917" s="13" customFormat="1" ht="12" hidden="1">
      <c r="W917" s="236"/>
    </row>
    <row r="918" s="13" customFormat="1" ht="12" hidden="1">
      <c r="W918" s="236"/>
    </row>
    <row r="919" s="13" customFormat="1" ht="12" hidden="1">
      <c r="W919" s="236"/>
    </row>
    <row r="920" s="13" customFormat="1" ht="12" hidden="1">
      <c r="W920" s="236"/>
    </row>
    <row r="921" s="13" customFormat="1" ht="12" hidden="1">
      <c r="W921" s="236"/>
    </row>
    <row r="922" s="13" customFormat="1" ht="12" hidden="1">
      <c r="W922" s="236"/>
    </row>
    <row r="923" s="13" customFormat="1" ht="12" hidden="1">
      <c r="W923" s="236"/>
    </row>
    <row r="924" s="13" customFormat="1" ht="12" hidden="1">
      <c r="W924" s="236"/>
    </row>
    <row r="925" s="13" customFormat="1" ht="12" hidden="1">
      <c r="W925" s="236"/>
    </row>
    <row r="926" s="13" customFormat="1" ht="12" hidden="1">
      <c r="W926" s="236"/>
    </row>
    <row r="927" s="13" customFormat="1" ht="12" hidden="1">
      <c r="W927" s="236"/>
    </row>
    <row r="928" s="13" customFormat="1" ht="12" hidden="1">
      <c r="W928" s="236"/>
    </row>
    <row r="929" s="13" customFormat="1" ht="12" hidden="1">
      <c r="W929" s="236"/>
    </row>
    <row r="930" s="13" customFormat="1" ht="12" hidden="1">
      <c r="W930" s="236"/>
    </row>
    <row r="931" s="13" customFormat="1" ht="12" hidden="1">
      <c r="W931" s="236"/>
    </row>
    <row r="932" s="13" customFormat="1" ht="12" hidden="1">
      <c r="W932" s="236"/>
    </row>
    <row r="933" s="13" customFormat="1" ht="12" hidden="1">
      <c r="W933" s="236"/>
    </row>
    <row r="934" s="13" customFormat="1" ht="12" hidden="1">
      <c r="W934" s="236"/>
    </row>
    <row r="935" s="13" customFormat="1" ht="12" hidden="1">
      <c r="W935" s="236"/>
    </row>
    <row r="936" s="13" customFormat="1" ht="12" hidden="1">
      <c r="W936" s="236"/>
    </row>
    <row r="937" s="13" customFormat="1" ht="12" hidden="1">
      <c r="W937" s="236"/>
    </row>
    <row r="938" s="13" customFormat="1" ht="12" hidden="1">
      <c r="W938" s="236"/>
    </row>
    <row r="939" spans="1:23" s="6" customFormat="1" ht="12" hidden="1">
      <c r="A939" s="391"/>
      <c r="W939" s="237"/>
    </row>
    <row r="940" spans="1:25" ht="12.75" hidden="1">
      <c r="A940"/>
      <c r="B940">
        <v>27</v>
      </c>
      <c r="C940">
        <v>6</v>
      </c>
      <c r="D940">
        <v>15</v>
      </c>
      <c r="E940">
        <v>27</v>
      </c>
      <c r="F940">
        <v>82</v>
      </c>
      <c r="G940">
        <v>0</v>
      </c>
      <c r="H940">
        <v>0</v>
      </c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</row>
    <row r="941" spans="1:25" ht="12.75" hidden="1">
      <c r="A941"/>
      <c r="B941">
        <v>213</v>
      </c>
      <c r="C941">
        <v>16</v>
      </c>
      <c r="D941">
        <v>16</v>
      </c>
      <c r="E941">
        <v>16</v>
      </c>
      <c r="F941">
        <v>50</v>
      </c>
      <c r="G941">
        <v>82</v>
      </c>
      <c r="H941">
        <v>36</v>
      </c>
      <c r="I941">
        <v>22</v>
      </c>
      <c r="J941">
        <v>37</v>
      </c>
      <c r="K941">
        <v>35</v>
      </c>
      <c r="L941">
        <v>31</v>
      </c>
      <c r="M941">
        <v>0</v>
      </c>
      <c r="N941">
        <v>0</v>
      </c>
      <c r="O941">
        <v>16</v>
      </c>
      <c r="P941">
        <v>17</v>
      </c>
      <c r="Q941">
        <v>16</v>
      </c>
      <c r="R941">
        <v>28</v>
      </c>
      <c r="S941">
        <v>679</v>
      </c>
      <c r="T941">
        <v>53</v>
      </c>
      <c r="U941">
        <v>78</v>
      </c>
      <c r="V941">
        <v>57</v>
      </c>
      <c r="W941">
        <v>97</v>
      </c>
      <c r="X941">
        <v>174</v>
      </c>
      <c r="Y941">
        <v>0</v>
      </c>
    </row>
    <row r="942" spans="1:25" ht="12.75" hidden="1">
      <c r="A942"/>
      <c r="B942">
        <v>0</v>
      </c>
      <c r="C942">
        <v>2</v>
      </c>
      <c r="D942">
        <v>2</v>
      </c>
      <c r="E942">
        <v>4</v>
      </c>
      <c r="F942">
        <v>4</v>
      </c>
      <c r="G942">
        <v>2</v>
      </c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</row>
    <row r="943" spans="1:25" ht="12.75" hidden="1">
      <c r="A943"/>
      <c r="B943">
        <v>0</v>
      </c>
      <c r="C943">
        <v>404</v>
      </c>
      <c r="D943">
        <v>0</v>
      </c>
      <c r="E943">
        <v>0</v>
      </c>
      <c r="F943">
        <v>0</v>
      </c>
      <c r="G943">
        <v>0</v>
      </c>
      <c r="H943">
        <v>0</v>
      </c>
      <c r="I943">
        <v>0</v>
      </c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</row>
    <row r="944" spans="1:25" ht="12.75" hidden="1">
      <c r="A944"/>
      <c r="B944">
        <v>28</v>
      </c>
      <c r="C944">
        <v>0</v>
      </c>
      <c r="D944">
        <v>0</v>
      </c>
      <c r="E944">
        <v>0</v>
      </c>
      <c r="F944">
        <v>0</v>
      </c>
      <c r="G944">
        <v>0</v>
      </c>
      <c r="H944">
        <v>0</v>
      </c>
      <c r="I944">
        <v>0</v>
      </c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</row>
    <row r="945" spans="1:25" ht="12.75" hidden="1">
      <c r="A945"/>
      <c r="B945">
        <v>60</v>
      </c>
      <c r="C945">
        <v>0</v>
      </c>
      <c r="D945">
        <v>0</v>
      </c>
      <c r="E945">
        <v>0</v>
      </c>
      <c r="F945">
        <v>0</v>
      </c>
      <c r="G945">
        <v>0</v>
      </c>
      <c r="H945">
        <v>0</v>
      </c>
      <c r="I945">
        <v>0</v>
      </c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</row>
    <row r="946" spans="1:25" ht="12.75" hidden="1">
      <c r="A946"/>
      <c r="B946">
        <v>38</v>
      </c>
      <c r="C946">
        <v>0</v>
      </c>
      <c r="D946">
        <v>0</v>
      </c>
      <c r="E946">
        <v>0</v>
      </c>
      <c r="F946">
        <v>0</v>
      </c>
      <c r="G946">
        <v>0</v>
      </c>
      <c r="H946">
        <v>0</v>
      </c>
      <c r="I946">
        <v>0</v>
      </c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</row>
    <row r="947" spans="1:25" ht="12.75" hidden="1">
      <c r="A947"/>
      <c r="B947">
        <v>29</v>
      </c>
      <c r="C947">
        <v>0</v>
      </c>
      <c r="D947">
        <v>0</v>
      </c>
      <c r="E947">
        <v>0</v>
      </c>
      <c r="F947">
        <v>0</v>
      </c>
      <c r="G947">
        <v>0</v>
      </c>
      <c r="H947">
        <v>0</v>
      </c>
      <c r="I947">
        <v>0</v>
      </c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</row>
    <row r="948" spans="1:25" ht="12.75" hidden="1">
      <c r="A948"/>
      <c r="B948">
        <v>54</v>
      </c>
      <c r="C948">
        <v>0</v>
      </c>
      <c r="D948">
        <v>0</v>
      </c>
      <c r="E948">
        <v>0</v>
      </c>
      <c r="F948">
        <v>0</v>
      </c>
      <c r="G948">
        <v>0</v>
      </c>
      <c r="H948">
        <v>0</v>
      </c>
      <c r="I948">
        <v>0</v>
      </c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</row>
    <row r="949" spans="1:25" ht="12.75" hidden="1">
      <c r="A949"/>
      <c r="B949">
        <v>31</v>
      </c>
      <c r="C949">
        <v>0</v>
      </c>
      <c r="D949">
        <v>0</v>
      </c>
      <c r="E949">
        <v>0</v>
      </c>
      <c r="F949">
        <v>0</v>
      </c>
      <c r="G949">
        <v>0</v>
      </c>
      <c r="H949">
        <v>0</v>
      </c>
      <c r="I949">
        <v>0</v>
      </c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</row>
    <row r="950" spans="1:25" ht="12.75" hidden="1">
      <c r="A950"/>
      <c r="B950">
        <v>68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0</v>
      </c>
      <c r="I950">
        <v>0</v>
      </c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</row>
    <row r="951" spans="1:25" ht="12.75" hidden="1">
      <c r="A951"/>
      <c r="B951">
        <v>2028</v>
      </c>
      <c r="C951">
        <v>0</v>
      </c>
      <c r="D951">
        <v>0</v>
      </c>
      <c r="E951">
        <v>0</v>
      </c>
      <c r="F951">
        <v>0</v>
      </c>
      <c r="G951">
        <v>0</v>
      </c>
      <c r="H951">
        <v>0</v>
      </c>
      <c r="I951">
        <v>0</v>
      </c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</row>
    <row r="952" spans="1:25" ht="12.75" hidden="1">
      <c r="A952"/>
      <c r="B952">
        <v>0</v>
      </c>
      <c r="C952">
        <v>0</v>
      </c>
      <c r="D952">
        <v>0</v>
      </c>
      <c r="E952">
        <v>0</v>
      </c>
      <c r="F952">
        <v>0</v>
      </c>
      <c r="G952">
        <v>0</v>
      </c>
      <c r="H952">
        <v>0</v>
      </c>
      <c r="I952">
        <v>0</v>
      </c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</row>
    <row r="953" spans="1:25" ht="12.75" hidden="1">
      <c r="A953"/>
      <c r="B953">
        <v>0</v>
      </c>
      <c r="C953">
        <v>0</v>
      </c>
      <c r="D953">
        <v>0</v>
      </c>
      <c r="E953">
        <v>0</v>
      </c>
      <c r="F953">
        <v>0</v>
      </c>
      <c r="G953">
        <v>0</v>
      </c>
      <c r="H953">
        <v>0</v>
      </c>
      <c r="I953">
        <v>0</v>
      </c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</row>
    <row r="954" spans="1:25" ht="12.75" hidden="1">
      <c r="A954"/>
      <c r="B954">
        <v>0</v>
      </c>
      <c r="C954">
        <v>0</v>
      </c>
      <c r="D954">
        <v>0</v>
      </c>
      <c r="E954">
        <v>0</v>
      </c>
      <c r="F954">
        <v>0</v>
      </c>
      <c r="G954">
        <v>0</v>
      </c>
      <c r="H954">
        <v>0</v>
      </c>
      <c r="I954">
        <v>0</v>
      </c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</row>
    <row r="955" spans="1:25" ht="12.75" hidden="1">
      <c r="A955" s="392"/>
      <c r="B955">
        <v>0</v>
      </c>
      <c r="C955">
        <v>1</v>
      </c>
      <c r="D955">
        <v>2</v>
      </c>
      <c r="E955">
        <v>1</v>
      </c>
      <c r="F955">
        <v>1</v>
      </c>
      <c r="G955">
        <v>1</v>
      </c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</row>
    <row r="956" ht="12.75" hidden="1">
      <c r="A956" s="1">
        <f>TRUNC('Poliof40 - LIVROB'!$G$510)</f>
        <v>2</v>
      </c>
    </row>
    <row r="957" ht="12.75" hidden="1">
      <c r="A957" s="1">
        <f>TRUNC('Poliof40 - LIVROB'!$G$511)</f>
        <v>2</v>
      </c>
    </row>
    <row r="958" ht="12.75" hidden="1">
      <c r="A958" s="1">
        <f>TRUNC('Poliof40 - LIVROB'!$G$512)</f>
        <v>3</v>
      </c>
    </row>
    <row r="959" ht="12.75" hidden="1">
      <c r="A959" s="1">
        <f>TRUNC('Poliof40 - LIVROB'!$G$513)</f>
        <v>1</v>
      </c>
    </row>
    <row r="960" ht="12.75" hidden="1">
      <c r="A960" s="1">
        <f>TRUNC('Poliof40 - LIVROB'!$G$517)</f>
        <v>1</v>
      </c>
    </row>
    <row r="961" ht="12.75" hidden="1">
      <c r="A961" s="1">
        <f>TRUNC('Poliof40 - LIVROB'!$G$518)</f>
        <v>1</v>
      </c>
    </row>
    <row r="962" ht="12.75" hidden="1">
      <c r="A962" s="1">
        <f>TRUNC('Poliof40 - LIVROB'!$G$519)</f>
        <v>1</v>
      </c>
    </row>
    <row r="963" ht="12.75" hidden="1">
      <c r="A963" s="1">
        <f>TRUNC('Poliof40 - LIVROB'!$G$520)</f>
        <v>1</v>
      </c>
    </row>
    <row r="964" ht="12.75" hidden="1">
      <c r="A964" s="1">
        <f>TRUNC('Poliof40 - LIVROB'!$G$521)</f>
        <v>1</v>
      </c>
    </row>
    <row r="965" ht="12.75" hidden="1">
      <c r="A965" s="1">
        <f>TRUNC('Poliof40 - LIVROB'!$G$523)</f>
        <v>2</v>
      </c>
    </row>
    <row r="966" ht="12.75" hidden="1">
      <c r="A966" s="1">
        <f>TRUNC('Poliof40 - LIVROB'!$G$527)</f>
        <v>0</v>
      </c>
    </row>
    <row r="967" ht="12.75" hidden="1">
      <c r="A967" s="1">
        <f>TRUNC('Poliof40 - LIVROB'!$G$529)</f>
        <v>13000</v>
      </c>
    </row>
    <row r="968" ht="12.75" hidden="1">
      <c r="A968"/>
    </row>
    <row r="969" ht="12.75" hidden="1">
      <c r="A969"/>
    </row>
    <row r="970" ht="12.75" hidden="1">
      <c r="A970"/>
    </row>
    <row r="971" ht="12.75" hidden="1">
      <c r="A971"/>
    </row>
    <row r="972" ht="12.75" hidden="1">
      <c r="A972"/>
    </row>
    <row r="973" ht="12.75" hidden="1">
      <c r="A973"/>
    </row>
    <row r="974" ht="12.75" hidden="1">
      <c r="A974"/>
    </row>
    <row r="975" ht="12.75" hidden="1">
      <c r="A975"/>
    </row>
    <row r="976" ht="12.75" hidden="1">
      <c r="A976"/>
    </row>
    <row r="977" ht="12.75" hidden="1">
      <c r="A977" s="1"/>
    </row>
    <row r="978" ht="12.75" hidden="1">
      <c r="A978" s="1"/>
    </row>
    <row r="979" ht="12.75" hidden="1">
      <c r="A979" s="1"/>
    </row>
    <row r="980" ht="12.75" hidden="1">
      <c r="A980" s="1"/>
    </row>
    <row r="981" ht="12.75" hidden="1">
      <c r="A981" s="1"/>
    </row>
    <row r="982" ht="12.75" hidden="1">
      <c r="A982" s="1"/>
    </row>
    <row r="983" ht="12.75" hidden="1">
      <c r="A983" s="1"/>
    </row>
    <row r="984" ht="12.75" hidden="1">
      <c r="A984" s="1"/>
    </row>
    <row r="985" ht="12.75" hidden="1">
      <c r="A985" s="1"/>
    </row>
    <row r="986" ht="12.75" hidden="1">
      <c r="A986" s="1"/>
    </row>
    <row r="987" ht="12.75" hidden="1">
      <c r="A987" s="1"/>
    </row>
    <row r="988" ht="12.75" hidden="1">
      <c r="A988" s="391"/>
    </row>
    <row r="989" spans="1:27" ht="12.75" hidden="1">
      <c r="A989" s="5">
        <f>TRUNC('Poliof40 - LIVROB'!$D$701)</f>
        <v>0</v>
      </c>
      <c r="B989" s="4" t="s">
        <v>312</v>
      </c>
      <c r="C989" s="5">
        <f>TRUNC('Poliof40 - LIVROB'!$D$731)</f>
        <v>1</v>
      </c>
      <c r="D989" s="4" t="s">
        <v>312</v>
      </c>
      <c r="E989" s="5">
        <f>TRUNC('Poliof40 - LIVROB'!$D$761)</f>
        <v>2</v>
      </c>
      <c r="F989" s="4" t="s">
        <v>312</v>
      </c>
      <c r="G989" s="5">
        <f>TRUNC('Poliof40 - LIVROB'!$D$794)</f>
        <v>1</v>
      </c>
      <c r="H989" s="4" t="s">
        <v>312</v>
      </c>
      <c r="I989" s="5">
        <f>TRUNC('Poliof40 - LIVROB'!$D$842)</f>
        <v>1</v>
      </c>
      <c r="J989" s="4" t="s">
        <v>312</v>
      </c>
      <c r="K989" s="5">
        <f>TRUNC('Poliof40 - LIVROB'!$D$880)</f>
        <v>1</v>
      </c>
      <c r="L989" s="5"/>
      <c r="M989" s="5"/>
      <c r="N989" s="5"/>
      <c r="O989" s="4" t="s">
        <v>0</v>
      </c>
      <c r="P989" s="4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12.75" hidden="1">
      <c r="A990" s="1">
        <f>TRUNC(IF('Poliof40 - LIVROB'!$AD$620=1,'Poliof40 - LIVROB'!$D$624,'Poliof40 - LIVROB'!$D$625))</f>
        <v>0</v>
      </c>
      <c r="B990" s="2" t="s">
        <v>312</v>
      </c>
      <c r="C990" s="1">
        <f>TRUNC(IF('Poliof40 - LIVROB'!$AD$620=1,'Poliof40 - LIVROB'!$E$624,'Poliof40 - LIVROB'!$E$625))</f>
        <v>404</v>
      </c>
      <c r="D990" s="2" t="s">
        <v>312</v>
      </c>
      <c r="E990" s="1">
        <f>TRUNC(IF('Poliof40 - LIVROB'!$AD$620=1,'Poliof40 - LIVROB'!$F$624,'Poliof40 - LIVROB'!$F$625))</f>
        <v>0</v>
      </c>
      <c r="F990" s="2" t="s">
        <v>312</v>
      </c>
      <c r="G990" s="1">
        <f>TRUNC(IF('Poliof40 - LIVROB'!$AD$620=1,'Poliof40 - LIVROB'!$G$624,'Poliof40 - LIVROB'!$G$625))</f>
        <v>0</v>
      </c>
      <c r="H990" s="1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12.75" hidden="1">
      <c r="A991" s="1">
        <f>TRUNC(IF('Poliof40 - LIVROB'!$AD$620=1,'Poliof40 - LIVROB'!$D$628,'Poliof40 - LIVROB'!$D$629))</f>
        <v>28</v>
      </c>
      <c r="B991" s="2" t="s">
        <v>312</v>
      </c>
      <c r="C991" s="1">
        <f>TRUNC(IF('Poliof40 - LIVROB'!$AD$620=1,'Poliof40 - LIVROB'!$E$628,'Poliof40 - LIVROB'!$E$629))</f>
        <v>21</v>
      </c>
      <c r="D991" s="2" t="s">
        <v>312</v>
      </c>
      <c r="E991" s="1">
        <f>TRUNC(IF('Poliof40 - LIVROB'!$AD$620=1,'Poliof40 - LIVROB'!$F$628,'Poliof40 - LIVROB'!$F$629))</f>
        <v>21</v>
      </c>
      <c r="F991" s="2" t="s">
        <v>312</v>
      </c>
      <c r="G991" s="1">
        <f>TRUNC(IF('Poliof40 - LIVROB'!$AD$620=1,'Poliof40 - LIVROB'!$G$628,'Poliof40 - LIVROB'!$G$629))</f>
        <v>28</v>
      </c>
      <c r="H991" s="1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12.75" hidden="1">
      <c r="A992" s="1">
        <f>TRUNC(IF('Poliof40 - LIVROB'!$AD$620=1,'Poliof40 - LIVROB'!$D$630,'Poliof40 - LIVROB'!$D$631))</f>
        <v>38</v>
      </c>
      <c r="B992" s="2" t="s">
        <v>312</v>
      </c>
      <c r="C992" s="1">
        <f>TRUNC(IF('Poliof40 - LIVROB'!$AD$620=1,'Poliof40 - LIVROB'!$E$630,'Poliof40 - LIVROB'!$E$631))</f>
        <v>37</v>
      </c>
      <c r="D992" s="2" t="s">
        <v>312</v>
      </c>
      <c r="E992" s="1">
        <f>TRUNC(IF('Poliof40 - LIVROB'!$AD$620=1,'Poliof40 - LIVROB'!$F$630,'Poliof40 - LIVROB'!$F$631))</f>
        <v>31</v>
      </c>
      <c r="F992" s="2" t="s">
        <v>312</v>
      </c>
      <c r="G992" s="1">
        <f>TRUNC(IF('Poliof40 - LIVROB'!$AD$620=1,'Poliof40 - LIVROB'!$G$630,'Poliof40 - LIVROB'!$G$631))</f>
        <v>60</v>
      </c>
      <c r="H992" s="1"/>
      <c r="I992" s="3"/>
      <c r="J992" s="3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ht="12.75" hidden="1">
      <c r="A993" s="1">
        <f>TRUNC(IF('Poliof40 - LIVROB'!$AD$620=1,'Poliof40 - LIVROB'!$D$634,'Poliof40 - LIVROB'!$D$635))</f>
        <v>0</v>
      </c>
      <c r="B993" s="2" t="s">
        <v>312</v>
      </c>
      <c r="C993" s="1">
        <f>TRUNC(IF('Poliof40 - LIVROB'!$AD$620=1,'Poliof40 - LIVROB'!$E$634,'Poliof40 - LIVROB'!$E$635))</f>
        <v>38</v>
      </c>
      <c r="D993" s="2" t="s">
        <v>312</v>
      </c>
      <c r="E993" s="1">
        <f>TRUNC(IF('Poliof40 - LIVROB'!$AD$620=1,'Poliof40 - LIVROB'!$F$634,'Poliof40 - LIVROB'!$F$635))</f>
        <v>38</v>
      </c>
      <c r="F993" s="2" t="s">
        <v>312</v>
      </c>
      <c r="G993" s="1">
        <f>TRUNC(IF('Poliof40 - LIVROB'!$AD$620=1,'Poliof40 - LIVROB'!$G$634,'Poliof40 - LIVROB'!$G$635))</f>
        <v>0</v>
      </c>
      <c r="H993" s="1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ht="12.75" hidden="1">
      <c r="A994" s="1">
        <f>TRUNC(IF('Poliof40 - LIVROB'!$AD$620=1,'Poliof40 - LIVROB'!$D$638,'Poliof40 - LIVROB'!$D$639))</f>
        <v>20</v>
      </c>
      <c r="B994" s="2" t="s">
        <v>312</v>
      </c>
      <c r="C994" s="1">
        <f>TRUNC(IF('Poliof40 - LIVROB'!$AD$620=1,'Poliof40 - LIVROB'!$E$638,'Poliof40 - LIVROB'!$E$639))</f>
        <v>22</v>
      </c>
      <c r="D994" s="2" t="s">
        <v>312</v>
      </c>
      <c r="E994" s="1">
        <f>TRUNC(IF('Poliof40 - LIVROB'!$AD$620=1,'Poliof40 - LIVROB'!$F$638,'Poliof40 - LIVROB'!$F$639))</f>
        <v>29</v>
      </c>
      <c r="F994" s="2" t="s">
        <v>312</v>
      </c>
      <c r="G994" s="1">
        <f>TRUNC(IF('Poliof40 - LIVROB'!$AD$620=1,'Poliof40 - LIVROB'!$G$638,'Poliof40 - LIVROB'!$G$639))</f>
        <v>29</v>
      </c>
      <c r="H994" s="1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:27" ht="12.75" hidden="1">
      <c r="A995" s="1">
        <f>TRUNC(IF('Poliof40 - LIVROB'!$AD$620=1,'Poliof40 - LIVROB'!$D$640,'Poliof40 - LIVROB'!$D$641))</f>
        <v>22</v>
      </c>
      <c r="B995" s="2" t="s">
        <v>312</v>
      </c>
      <c r="C995" s="1">
        <f>TRUNC(IF('Poliof40 - LIVROB'!$AD$620=1,'Poliof40 - LIVROB'!$E$640,'Poliof40 - LIVROB'!$E$641))</f>
        <v>33</v>
      </c>
      <c r="D995" s="2" t="s">
        <v>312</v>
      </c>
      <c r="E995" s="1">
        <f>TRUNC(IF('Poliof40 - LIVROB'!$AD$620=1,'Poliof40 - LIVROB'!$F$640,'Poliof40 - LIVROB'!$F$641))</f>
        <v>63</v>
      </c>
      <c r="F995" s="2" t="s">
        <v>312</v>
      </c>
      <c r="G995" s="1">
        <f>TRUNC(IF('Poliof40 - LIVROB'!$AD$620=1,'Poliof40 - LIVROB'!$G$640,'Poliof40 - LIVROB'!$G$641))</f>
        <v>54</v>
      </c>
      <c r="H995" s="1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spans="1:27" ht="12.75" hidden="1">
      <c r="A996" s="1">
        <f>TRUNC(IF('Poliof40 - LIVROB'!$AD$620=1,'Poliof40 - LIVROB'!$D$642,'Poliof40 - LIVROB'!$D$643))</f>
        <v>23</v>
      </c>
      <c r="B996" s="2" t="s">
        <v>312</v>
      </c>
      <c r="C996" s="1">
        <f>TRUNC(IF('Poliof40 - LIVROB'!$AD$620=1,'Poliof40 - LIVROB'!$E$642,'Poliof40 - LIVROB'!$E$643))</f>
        <v>23</v>
      </c>
      <c r="D996" s="2" t="s">
        <v>312</v>
      </c>
      <c r="E996" s="1">
        <f>TRUNC(IF('Poliof40 - LIVROB'!$AD$620=1,'Poliof40 - LIVROB'!$F$642,'Poliof40 - LIVROB'!$F$643))</f>
        <v>31</v>
      </c>
      <c r="F996" s="2" t="s">
        <v>312</v>
      </c>
      <c r="G996" s="1">
        <f>TRUNC(IF('Poliof40 - LIVROB'!$AD$620=1,'Poliof40 - LIVROB'!$G$642,'Poliof40 - LIVROB'!$G$643))</f>
        <v>31</v>
      </c>
      <c r="H996" s="1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spans="1:27" ht="12.75" hidden="1">
      <c r="A997" s="1">
        <f>TRUNC(IF('Poliof40 - LIVROB'!$AD$620=1,'Poliof40 - LIVROB'!$D$644,'Poliof40 - LIVROB'!$D$645))</f>
        <v>37</v>
      </c>
      <c r="B997" s="2" t="s">
        <v>312</v>
      </c>
      <c r="C997" s="1">
        <f>TRUNC(IF('Poliof40 - LIVROB'!$AD$620=1,'Poliof40 - LIVROB'!$E$644,'Poliof40 - LIVROB'!$E$645))</f>
        <v>46</v>
      </c>
      <c r="D997" s="2" t="s">
        <v>312</v>
      </c>
      <c r="E997" s="1">
        <f>TRUNC(IF('Poliof40 - LIVROB'!$AD$620=1,'Poliof40 - LIVROB'!$F$644,'Poliof40 - LIVROB'!$F$645))</f>
        <v>77</v>
      </c>
      <c r="F997" s="2" t="s">
        <v>312</v>
      </c>
      <c r="G997" s="1">
        <f>TRUNC(IF('Poliof40 - LIVROB'!$AD$620=1,'Poliof40 - LIVROB'!$G$644,'Poliof40 - LIVROB'!$G$645))</f>
        <v>68</v>
      </c>
      <c r="H997" s="1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spans="1:27" ht="12.75" hidden="1">
      <c r="A998" s="1">
        <f>TRUNC(IF('Poliof40 - LIVROB'!$AD$620=1,'Poliof40 - LIVROB'!$D$646,'Poliof40 - LIVROB'!$D$647))</f>
        <v>1019</v>
      </c>
      <c r="B998" s="2" t="s">
        <v>312</v>
      </c>
      <c r="C998" s="1">
        <f>TRUNC(IF('Poliof40 - LIVROB'!$AD$620=1,'Poliof40 - LIVROB'!$E$646,'Poliof40 - LIVROB'!$E$647))</f>
        <v>1535</v>
      </c>
      <c r="D998" s="2" t="s">
        <v>312</v>
      </c>
      <c r="E998" s="1">
        <f>TRUNC(IF('Poliof40 - LIVROB'!$AD$620=1,'Poliof40 - LIVROB'!$F$646,'Poliof40 - LIVROB'!$F$647))</f>
        <v>2085</v>
      </c>
      <c r="F998" s="2" t="s">
        <v>312</v>
      </c>
      <c r="G998" s="1">
        <f>TRUNC(IF('Poliof40 - LIVROB'!$AD$620=1,'Poliof40 - LIVROB'!$G$646,'Poliof40 - LIVROB'!$G$647))</f>
        <v>2028</v>
      </c>
      <c r="H998" s="1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spans="1:27" ht="12.75" hidden="1">
      <c r="A999" s="1">
        <f>TRUNC(IF('Poliof40 - LIVROB'!$AD$620=1,'Poliof40 - LIVROB'!$D$650,'Poliof40 - LIVROB'!$D$651))</f>
        <v>0</v>
      </c>
      <c r="B999" s="2" t="s">
        <v>312</v>
      </c>
      <c r="C999" s="1">
        <f>TRUNC(IF('Poliof40 - LIVROB'!$AD$620=1,'Poliof40 - LIVROB'!$E$650,'Poliof40 - LIVROB'!$E$651))</f>
        <v>105</v>
      </c>
      <c r="D999" s="2" t="s">
        <v>312</v>
      </c>
      <c r="E999" s="1">
        <f>TRUNC(IF('Poliof40 - LIVROB'!$AD$620=1,'Poliof40 - LIVROB'!$F$650,'Poliof40 - LIVROB'!$F$651))</f>
        <v>0</v>
      </c>
      <c r="F999" s="2" t="s">
        <v>312</v>
      </c>
      <c r="G999" s="1">
        <f>TRUNC(IF('Poliof40 - LIVROB'!$AD$620=1,'Poliof40 - LIVROB'!$G$650,'Poliof40 - LIVROB'!$G$651))</f>
        <v>105</v>
      </c>
      <c r="H999" s="1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  <row r="1000" spans="1:27" ht="12.75" hidden="1">
      <c r="A1000" s="5">
        <f>TRUNC('Poliof40 - LIVROB'!$F$699)</f>
        <v>0</v>
      </c>
      <c r="B1000" s="4" t="s">
        <v>312</v>
      </c>
      <c r="C1000" s="5">
        <f>TRUNC('Poliof40 - LIVROB'!$F$729)</f>
        <v>16</v>
      </c>
      <c r="D1000" s="4" t="s">
        <v>312</v>
      </c>
      <c r="E1000" s="5">
        <f>TRUNC('Poliof40 - LIVROB'!$F$759)</f>
        <v>16</v>
      </c>
      <c r="F1000" s="4" t="s">
        <v>312</v>
      </c>
      <c r="G1000" s="5">
        <f>TRUNC('Poliof40 - LIVROB'!$F$792)</f>
        <v>16</v>
      </c>
      <c r="H1000" s="4" t="s">
        <v>312</v>
      </c>
      <c r="I1000" s="5">
        <f>TRUNC('Poliof40 - LIVROB'!$F$840)</f>
        <v>16</v>
      </c>
      <c r="J1000" s="4" t="s">
        <v>312</v>
      </c>
      <c r="K1000" s="5">
        <f>TRUNC('Poliof40 - LIVROB'!$F$878)</f>
        <v>16</v>
      </c>
      <c r="L1000" s="4"/>
      <c r="M1000" s="5"/>
      <c r="N1000" s="4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</row>
    <row r="1001" spans="1:27" ht="12.75" hidden="1">
      <c r="A1001" s="5">
        <f>IF('Poliof40 - LIVROB'!$G$510=1,TRUNC('Poliof40 - LIVROB'!$AG$699),2)</f>
        <v>2</v>
      </c>
      <c r="B1001" s="4" t="s">
        <v>312</v>
      </c>
      <c r="C1001" s="5">
        <f>IF('Poliof40 - LIVROB'!$G$510=2,TRUNC('Poliof40 - LIVROB'!$AG$729),2)</f>
        <v>2</v>
      </c>
      <c r="D1001" s="4" t="s">
        <v>312</v>
      </c>
      <c r="E1001" s="5">
        <f>IF('Poliof40 - LIVROB'!$G$510=2,TRUNC('Poliof40 - LIVROB'!$AG$759),2)</f>
        <v>2</v>
      </c>
      <c r="F1001" s="4" t="s">
        <v>312</v>
      </c>
      <c r="G1001" s="5">
        <f>IF('Poliof40 - LIVROB'!$G$511=3,2,TRUNC('Poliof40 - LIVROB'!$AG$792))</f>
        <v>2</v>
      </c>
      <c r="H1001" s="4" t="s">
        <v>312</v>
      </c>
      <c r="I1001" s="5">
        <f>TRUNC('Poliof40 - LIVROB'!$AG$840)</f>
        <v>2</v>
      </c>
      <c r="J1001" s="4" t="s">
        <v>312</v>
      </c>
      <c r="K1001" s="5">
        <f>TRUNC('Poliof40 - LIVROB'!$AG$878)</f>
        <v>2</v>
      </c>
      <c r="L1001" s="4"/>
      <c r="M1001" s="5"/>
      <c r="N1001" s="4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</row>
    <row r="1002" spans="1:27" ht="12.75" hidden="1">
      <c r="A1002" s="5">
        <f>TRUNC('Poliof40 - LIVROB'!$D$699)</f>
        <v>0</v>
      </c>
      <c r="B1002" s="4" t="s">
        <v>312</v>
      </c>
      <c r="C1002" s="5">
        <f>TRUNC('Poliof40 - LIVROB'!$D$729)</f>
        <v>1</v>
      </c>
      <c r="D1002" s="4" t="s">
        <v>312</v>
      </c>
      <c r="E1002" s="5">
        <f>TRUNC('Poliof40 - LIVROB'!$D$759)</f>
        <v>1</v>
      </c>
      <c r="F1002" s="4" t="s">
        <v>312</v>
      </c>
      <c r="G1002" s="5">
        <f>TRUNC('Poliof40 - LIVROB'!$D$792)</f>
        <v>4</v>
      </c>
      <c r="H1002" s="4" t="s">
        <v>312</v>
      </c>
      <c r="I1002" s="5">
        <f>TRUNC('Poliof40 - LIVROB'!$D$840)</f>
        <v>4</v>
      </c>
      <c r="J1002" s="4" t="s">
        <v>312</v>
      </c>
      <c r="K1002" s="5">
        <f>TRUNC('Poliof40 - LIVROB'!$D$878)</f>
        <v>1</v>
      </c>
      <c r="L1002" s="4"/>
      <c r="M1002" s="5"/>
      <c r="N1002" s="4"/>
      <c r="O1002" s="4" t="s">
        <v>0</v>
      </c>
      <c r="P1002" s="4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</row>
    <row r="1003" spans="1:27" ht="12.75" hidden="1">
      <c r="A1003" s="5">
        <f>TRUNC('Poliof40 - LIVROB'!$C$683)</f>
        <v>0</v>
      </c>
      <c r="B1003" s="4" t="s">
        <v>312</v>
      </c>
      <c r="C1003" s="5">
        <f>TRUNC('Poliof40 - LIVROB'!$C$684)</f>
        <v>0</v>
      </c>
      <c r="D1003" s="4" t="s">
        <v>312</v>
      </c>
      <c r="E1003" s="5">
        <f>TRUNC('Poliof40 - LIVROB'!$C$685)</f>
        <v>0</v>
      </c>
      <c r="F1003" s="4" t="s">
        <v>312</v>
      </c>
      <c r="G1003" s="5">
        <f>TRUNC('Poliof40 - LIVROB'!$C$686)</f>
        <v>0</v>
      </c>
      <c r="H1003" s="4" t="s">
        <v>312</v>
      </c>
      <c r="I1003" s="5">
        <f>TRUNC('Poliof40 - LIVROB'!$C$687)</f>
        <v>0</v>
      </c>
      <c r="J1003" s="4" t="s">
        <v>312</v>
      </c>
      <c r="K1003" s="5">
        <f>TRUNC('Poliof40 - LIVROB'!$C$688)</f>
        <v>0</v>
      </c>
      <c r="L1003" s="4" t="s">
        <v>312</v>
      </c>
      <c r="M1003" s="5">
        <f>TRUNC('Poliof40 - LIVROB'!$C$689)</f>
        <v>0</v>
      </c>
      <c r="N1003" s="4" t="s">
        <v>312</v>
      </c>
      <c r="O1003" s="5">
        <f>TRUNC('Poliof40 - LIVROB'!$C$690)</f>
        <v>0</v>
      </c>
      <c r="P1003" s="4" t="s">
        <v>312</v>
      </c>
      <c r="Q1003" s="5">
        <f>TRUNC('Poliof40 - LIVROB'!$C$691)</f>
        <v>0</v>
      </c>
      <c r="R1003" s="4" t="s">
        <v>312</v>
      </c>
      <c r="S1003" s="5">
        <f>TRUNC('Poliof40 - LIVROB'!$C$692)</f>
        <v>0</v>
      </c>
      <c r="T1003" s="5"/>
      <c r="U1003" s="5"/>
      <c r="V1003" s="5"/>
      <c r="W1003" s="4" t="s">
        <v>0</v>
      </c>
      <c r="X1003" s="4"/>
      <c r="Y1003" s="5"/>
      <c r="Z1003" s="5"/>
      <c r="AA1003" s="5"/>
    </row>
    <row r="1004" spans="1:27" ht="12.75" hidden="1">
      <c r="A1004" s="5">
        <f>TRUNC('Poliof40 - LIVROB'!$F$683)</f>
        <v>0</v>
      </c>
      <c r="B1004" s="4" t="s">
        <v>312</v>
      </c>
      <c r="C1004" s="5">
        <f>TRUNC('Poliof40 - LIVROB'!$F$684)</f>
        <v>0</v>
      </c>
      <c r="D1004" s="4" t="s">
        <v>312</v>
      </c>
      <c r="E1004" s="5">
        <f>TRUNC('Poliof40 - LIVROB'!$F$685)</f>
        <v>0</v>
      </c>
      <c r="F1004" s="4" t="s">
        <v>312</v>
      </c>
      <c r="G1004" s="5">
        <f>TRUNC('Poliof40 - LIVROB'!$F$686)</f>
        <v>0</v>
      </c>
      <c r="H1004" s="4" t="s">
        <v>312</v>
      </c>
      <c r="I1004" s="5">
        <f>TRUNC('Poliof40 - LIVROB'!$F$687)</f>
        <v>0</v>
      </c>
      <c r="J1004" s="4" t="s">
        <v>312</v>
      </c>
      <c r="K1004" s="5">
        <f>TRUNC('Poliof40 - LIVROB'!$F$688)</f>
        <v>0</v>
      </c>
      <c r="L1004" s="4" t="s">
        <v>312</v>
      </c>
      <c r="M1004" s="5">
        <f>TRUNC('Poliof40 - LIVROB'!$F$689)</f>
        <v>0</v>
      </c>
      <c r="N1004" s="4" t="s">
        <v>312</v>
      </c>
      <c r="O1004" s="5">
        <f>TRUNC('Poliof40 - LIVROB'!$F$690)</f>
        <v>0</v>
      </c>
      <c r="P1004" s="4" t="s">
        <v>312</v>
      </c>
      <c r="Q1004" s="5">
        <f>TRUNC('Poliof40 - LIVROB'!$F$691)</f>
        <v>0</v>
      </c>
      <c r="R1004" s="4" t="s">
        <v>312</v>
      </c>
      <c r="S1004" s="5">
        <f>TRUNC('Poliof40 - LIVROB'!$F$692)</f>
        <v>0</v>
      </c>
      <c r="T1004" s="5"/>
      <c r="U1004" s="5"/>
      <c r="V1004" s="5"/>
      <c r="W1004" s="4" t="s">
        <v>0</v>
      </c>
      <c r="X1004" s="4"/>
      <c r="Y1004" s="5"/>
      <c r="Z1004" s="5"/>
      <c r="AA1004" s="5"/>
    </row>
    <row r="1005" spans="1:27" ht="12.75" hidden="1">
      <c r="A1005" s="5">
        <f>TRUNC('Poliof40 - LIVROB'!$I$683)</f>
        <v>0</v>
      </c>
      <c r="B1005" s="4" t="s">
        <v>312</v>
      </c>
      <c r="C1005" s="5">
        <f>TRUNC('Poliof40 - LIVROB'!$I$684)</f>
        <v>0</v>
      </c>
      <c r="D1005" s="4" t="s">
        <v>312</v>
      </c>
      <c r="E1005" s="5">
        <f>TRUNC('Poliof40 - LIVROB'!$I$685)</f>
        <v>0</v>
      </c>
      <c r="F1005" s="4" t="s">
        <v>312</v>
      </c>
      <c r="G1005" s="5">
        <f>TRUNC('Poliof40 - LIVROB'!$I$686)</f>
        <v>0</v>
      </c>
      <c r="H1005" s="4" t="s">
        <v>312</v>
      </c>
      <c r="I1005" s="5">
        <f>TRUNC('Poliof40 - LIVROB'!$I$687)</f>
        <v>0</v>
      </c>
      <c r="J1005" s="4" t="s">
        <v>312</v>
      </c>
      <c r="K1005" s="5">
        <f>TRUNC('Poliof40 - LIVROB'!$I$688)</f>
        <v>0</v>
      </c>
      <c r="L1005" s="4" t="s">
        <v>312</v>
      </c>
      <c r="M1005" s="5">
        <f>TRUNC('Poliof40 - LIVROB'!$I$689)</f>
        <v>0</v>
      </c>
      <c r="N1005" s="4" t="s">
        <v>312</v>
      </c>
      <c r="O1005" s="5">
        <f>TRUNC('Poliof40 - LIVROB'!$I$690)</f>
        <v>0</v>
      </c>
      <c r="P1005" s="4" t="s">
        <v>312</v>
      </c>
      <c r="Q1005" s="5">
        <f>TRUNC('Poliof40 - LIVROB'!$I$691)</f>
        <v>0</v>
      </c>
      <c r="R1005" s="4" t="s">
        <v>312</v>
      </c>
      <c r="S1005" s="5">
        <f>TRUNC('Poliof40 - LIVROB'!$I$692)</f>
        <v>0</v>
      </c>
      <c r="T1005" s="5"/>
      <c r="U1005" s="5"/>
      <c r="V1005" s="5"/>
      <c r="W1005" s="4" t="s">
        <v>0</v>
      </c>
      <c r="X1005" s="4"/>
      <c r="Y1005" s="5"/>
      <c r="Z1005" s="5"/>
      <c r="AA1005" s="5"/>
    </row>
    <row r="1006" spans="1:27" ht="12.75" hidden="1">
      <c r="A1006" s="5">
        <f>TRUNC('Poliof40 - LIVROB'!$L$683)</f>
        <v>0</v>
      </c>
      <c r="B1006" s="4" t="s">
        <v>312</v>
      </c>
      <c r="C1006" s="5">
        <f>TRUNC('Poliof40 - LIVROB'!$L$684)</f>
        <v>0</v>
      </c>
      <c r="D1006" s="4" t="s">
        <v>312</v>
      </c>
      <c r="E1006" s="5">
        <f>TRUNC('Poliof40 - LIVROB'!$L$685)</f>
        <v>0</v>
      </c>
      <c r="F1006" s="4" t="s">
        <v>312</v>
      </c>
      <c r="G1006" s="5">
        <f>TRUNC('Poliof40 - LIVROB'!$L$686)</f>
        <v>0</v>
      </c>
      <c r="H1006" s="4" t="s">
        <v>312</v>
      </c>
      <c r="I1006" s="5">
        <f>TRUNC('Poliof40 - LIVROB'!$L$687)</f>
        <v>0</v>
      </c>
      <c r="J1006" s="4" t="s">
        <v>312</v>
      </c>
      <c r="K1006" s="5">
        <f>TRUNC('Poliof40 - LIVROB'!$L$688)</f>
        <v>0</v>
      </c>
      <c r="L1006" s="4" t="s">
        <v>312</v>
      </c>
      <c r="M1006" s="5">
        <f>TRUNC('Poliof40 - LIVROB'!$L$689)</f>
        <v>0</v>
      </c>
      <c r="N1006" s="4" t="s">
        <v>312</v>
      </c>
      <c r="O1006" s="5">
        <f>TRUNC('Poliof40 - LIVROB'!$L$690)</f>
        <v>0</v>
      </c>
      <c r="P1006" s="4" t="s">
        <v>312</v>
      </c>
      <c r="Q1006" s="5">
        <f>TRUNC('Poliof40 - LIVROB'!$L$691)</f>
        <v>0</v>
      </c>
      <c r="R1006" s="4" t="s">
        <v>312</v>
      </c>
      <c r="S1006" s="5">
        <f>TRUNC('Poliof40 - LIVROB'!$L$692)</f>
        <v>0</v>
      </c>
      <c r="T1006" s="5"/>
      <c r="U1006" s="5"/>
      <c r="V1006" s="5"/>
      <c r="W1006" s="4" t="s">
        <v>0</v>
      </c>
      <c r="X1006" s="4"/>
      <c r="Y1006" s="5"/>
      <c r="Z1006" s="5"/>
      <c r="AA1006" s="5"/>
    </row>
    <row r="1007" spans="1:27" ht="12.75" hidden="1">
      <c r="A1007" s="5">
        <f>TRUNC('Poliof40 - LIVROB'!$C$719)</f>
        <v>1</v>
      </c>
      <c r="B1007" s="4" t="s">
        <v>312</v>
      </c>
      <c r="C1007" s="5">
        <f>TRUNC('Poliof40 - LIVROB'!$C$720)</f>
        <v>2</v>
      </c>
      <c r="D1007" s="4" t="s">
        <v>312</v>
      </c>
      <c r="E1007" s="5">
        <f>TRUNC('Poliof40 - LIVROB'!$C$721)</f>
        <v>1</v>
      </c>
      <c r="F1007" s="4" t="s">
        <v>312</v>
      </c>
      <c r="G1007" s="5">
        <f>TRUNC('Poliof40 - LIVROB'!$C$722)</f>
        <v>0</v>
      </c>
      <c r="H1007" s="5"/>
      <c r="I1007" s="4" t="s">
        <v>0</v>
      </c>
      <c r="J1007" s="4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</row>
    <row r="1008" spans="1:27" ht="12.75" hidden="1">
      <c r="A1008" s="5">
        <f>TRUNC('Poliof40 - LIVROB'!$F$719)</f>
        <v>1</v>
      </c>
      <c r="B1008" s="4" t="s">
        <v>312</v>
      </c>
      <c r="C1008" s="5">
        <f>TRUNC('Poliof40 - LIVROB'!$F$720)</f>
        <v>2</v>
      </c>
      <c r="D1008" s="4" t="s">
        <v>312</v>
      </c>
      <c r="E1008" s="5">
        <f>TRUNC('Poliof40 - LIVROB'!$F$721)</f>
        <v>1</v>
      </c>
      <c r="F1008" s="4" t="s">
        <v>312</v>
      </c>
      <c r="G1008" s="5">
        <f>TRUNC('Poliof40 - LIVROB'!$F$722)</f>
        <v>0</v>
      </c>
      <c r="H1008" s="5"/>
      <c r="I1008" s="4" t="s">
        <v>0</v>
      </c>
      <c r="J1008" s="4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</row>
    <row r="1009" spans="1:27" ht="12.75" hidden="1">
      <c r="A1009" s="5">
        <f>TRUNC('Poliof40 - LIVROB'!$I$719)</f>
        <v>1</v>
      </c>
      <c r="B1009" s="4" t="s">
        <v>312</v>
      </c>
      <c r="C1009" s="5">
        <f>TRUNC('Poliof40 - LIVROB'!$I$720)</f>
        <v>2</v>
      </c>
      <c r="D1009" s="4" t="s">
        <v>312</v>
      </c>
      <c r="E1009" s="5">
        <f>TRUNC('Poliof40 - LIVROB'!$I$721)</f>
        <v>1</v>
      </c>
      <c r="F1009" s="4" t="s">
        <v>312</v>
      </c>
      <c r="G1009" s="5">
        <f>TRUNC('Poliof40 - LIVROB'!$I$722)</f>
        <v>0</v>
      </c>
      <c r="H1009" s="5"/>
      <c r="I1009" s="4" t="s">
        <v>0</v>
      </c>
      <c r="J1009" s="4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</row>
    <row r="1010" spans="1:27" ht="12.75" hidden="1">
      <c r="A1010" s="5">
        <f>TRUNC('Poliof40 - LIVROB'!$L$719)</f>
        <v>1</v>
      </c>
      <c r="B1010" s="4" t="s">
        <v>312</v>
      </c>
      <c r="C1010" s="5">
        <f>TRUNC('Poliof40 - LIVROB'!$L$720)</f>
        <v>2</v>
      </c>
      <c r="D1010" s="4" t="s">
        <v>312</v>
      </c>
      <c r="E1010" s="5">
        <f>TRUNC('Poliof40 - LIVROB'!$L$721)</f>
        <v>1</v>
      </c>
      <c r="F1010" s="4" t="s">
        <v>312</v>
      </c>
      <c r="G1010" s="5">
        <f>TRUNC('Poliof40 - LIVROB'!$L$722)</f>
        <v>0</v>
      </c>
      <c r="H1010" s="5"/>
      <c r="I1010" s="4" t="s">
        <v>0</v>
      </c>
      <c r="J1010" s="4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</row>
    <row r="1011" spans="1:27" ht="12.75" hidden="1">
      <c r="A1011" s="5">
        <f>TRUNC('Poliof40 - LIVROB'!$C$747)</f>
        <v>3</v>
      </c>
      <c r="B1011" s="4" t="s">
        <v>312</v>
      </c>
      <c r="C1011" s="5">
        <f>TRUNC('Poliof40 - LIVROB'!$C$748)</f>
        <v>4</v>
      </c>
      <c r="D1011" s="4" t="s">
        <v>312</v>
      </c>
      <c r="E1011" s="5">
        <f>TRUNC('Poliof40 - LIVROB'!$C$749)</f>
        <v>5</v>
      </c>
      <c r="F1011" s="4" t="s">
        <v>312</v>
      </c>
      <c r="G1011" s="5">
        <f>TRUNC('Poliof40 - LIVROB'!$C$750)</f>
        <v>0</v>
      </c>
      <c r="H1011" s="4" t="s">
        <v>312</v>
      </c>
      <c r="I1011" s="5">
        <f>TRUNC('Poliof40 - LIVROB'!$C$751)</f>
        <v>0</v>
      </c>
      <c r="J1011" s="4" t="s">
        <v>312</v>
      </c>
      <c r="K1011" s="5">
        <f>TRUNC('Poliof40 - LIVROB'!$C$752)</f>
        <v>0</v>
      </c>
      <c r="L1011" s="5"/>
      <c r="M1011" s="4" t="s">
        <v>0</v>
      </c>
      <c r="N1011" s="4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</row>
    <row r="1012" spans="1:27" ht="12.75" hidden="1">
      <c r="A1012" s="5">
        <f>TRUNC('Poliof40 - LIVROB'!$F$747)</f>
        <v>3</v>
      </c>
      <c r="B1012" s="4" t="s">
        <v>312</v>
      </c>
      <c r="C1012" s="5">
        <f>TRUNC('Poliof40 - LIVROB'!$F$748)</f>
        <v>4</v>
      </c>
      <c r="D1012" s="4" t="s">
        <v>312</v>
      </c>
      <c r="E1012" s="5">
        <f>TRUNC('Poliof40 - LIVROB'!$F$749)</f>
        <v>5</v>
      </c>
      <c r="F1012" s="4" t="s">
        <v>312</v>
      </c>
      <c r="G1012" s="5">
        <f>TRUNC('Poliof40 - LIVROB'!$F$750)</f>
        <v>0</v>
      </c>
      <c r="H1012" s="4" t="s">
        <v>312</v>
      </c>
      <c r="I1012" s="5">
        <f>TRUNC('Poliof40 - LIVROB'!$F$751)</f>
        <v>0</v>
      </c>
      <c r="J1012" s="4" t="s">
        <v>312</v>
      </c>
      <c r="K1012" s="5">
        <f>TRUNC('Poliof40 - LIVROB'!$F$752)</f>
        <v>0</v>
      </c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</row>
    <row r="1013" spans="1:27" ht="12.75" hidden="1">
      <c r="A1013" s="5">
        <f>TRUNC('Poliof40 - LIVROB'!$I$747)</f>
        <v>3</v>
      </c>
      <c r="B1013" s="4" t="s">
        <v>312</v>
      </c>
      <c r="C1013" s="5">
        <f>TRUNC('Poliof40 - LIVROB'!$I$748)</f>
        <v>4</v>
      </c>
      <c r="D1013" s="4" t="s">
        <v>312</v>
      </c>
      <c r="E1013" s="5">
        <f>TRUNC('Poliof40 - LIVROB'!$I$749)</f>
        <v>5</v>
      </c>
      <c r="F1013" s="4" t="s">
        <v>312</v>
      </c>
      <c r="G1013" s="5">
        <f>TRUNC('Poliof40 - LIVROB'!$I$750)</f>
        <v>0</v>
      </c>
      <c r="H1013" s="4" t="s">
        <v>312</v>
      </c>
      <c r="I1013" s="5">
        <f>TRUNC('Poliof40 - LIVROB'!$I$751)</f>
        <v>0</v>
      </c>
      <c r="J1013" s="4" t="s">
        <v>312</v>
      </c>
      <c r="K1013" s="5">
        <f>TRUNC('Poliof40 - LIVROB'!$I$752)</f>
        <v>0</v>
      </c>
      <c r="L1013" s="5"/>
      <c r="M1013" s="4" t="s">
        <v>0</v>
      </c>
      <c r="N1013" s="4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</row>
    <row r="1014" spans="1:27" ht="12.75" hidden="1">
      <c r="A1014" s="5">
        <f>TRUNC('Poliof40 - LIVROB'!$L$747)</f>
        <v>3</v>
      </c>
      <c r="B1014" s="4" t="s">
        <v>312</v>
      </c>
      <c r="C1014" s="5">
        <f>TRUNC('Poliof40 - LIVROB'!$L$748)</f>
        <v>4</v>
      </c>
      <c r="D1014" s="4" t="s">
        <v>312</v>
      </c>
      <c r="E1014" s="5">
        <f>TRUNC('Poliof40 - LIVROB'!$L$749)</f>
        <v>5</v>
      </c>
      <c r="F1014" s="4" t="s">
        <v>312</v>
      </c>
      <c r="G1014" s="5">
        <f>TRUNC('Poliof40 - LIVROB'!$L$750)</f>
        <v>0</v>
      </c>
      <c r="H1014" s="4" t="s">
        <v>312</v>
      </c>
      <c r="I1014" s="5">
        <f>TRUNC('Poliof40 - LIVROB'!$L$751)</f>
        <v>0</v>
      </c>
      <c r="J1014" s="4" t="s">
        <v>312</v>
      </c>
      <c r="K1014" s="5">
        <f>TRUNC('Poliof40 - LIVROB'!$L$752)</f>
        <v>0</v>
      </c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</row>
    <row r="1015" spans="1:27" ht="12.75" hidden="1">
      <c r="A1015" s="5">
        <f>TRUNC('Poliof40 - LIVROB'!$C$782)</f>
        <v>2</v>
      </c>
      <c r="B1015" s="4" t="s">
        <v>312</v>
      </c>
      <c r="C1015" s="5">
        <f>TRUNC('Poliof40 - LIVROB'!$C$783)</f>
        <v>1</v>
      </c>
      <c r="D1015" s="4" t="s">
        <v>312</v>
      </c>
      <c r="E1015" s="5">
        <f>TRUNC('Poliof40 - LIVROB'!$C$784)</f>
        <v>0</v>
      </c>
      <c r="F1015" s="4" t="s">
        <v>312</v>
      </c>
      <c r="G1015" s="5">
        <f>TRUNC('Poliof40 - LIVROB'!$C$785)</f>
        <v>0</v>
      </c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</row>
    <row r="1016" spans="1:27" ht="12.75" hidden="1">
      <c r="A1016" s="5">
        <f>TRUNC('Poliof40 - LIVROB'!$F$782)</f>
        <v>1</v>
      </c>
      <c r="B1016" s="4" t="s">
        <v>312</v>
      </c>
      <c r="C1016" s="5">
        <f>TRUNC('Poliof40 - LIVROB'!$F$783)</f>
        <v>2</v>
      </c>
      <c r="D1016" s="4" t="s">
        <v>312</v>
      </c>
      <c r="E1016" s="5">
        <f>TRUNC('Poliof40 - LIVROB'!$F$784)</f>
        <v>0</v>
      </c>
      <c r="F1016" s="4" t="s">
        <v>312</v>
      </c>
      <c r="G1016" s="5">
        <f>TRUNC('Poliof40 - LIVROB'!$F$785)</f>
        <v>0</v>
      </c>
      <c r="H1016" s="5"/>
      <c r="I1016" s="4" t="s">
        <v>0</v>
      </c>
      <c r="J1016" s="4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</row>
    <row r="1017" spans="1:27" ht="12.75" hidden="1">
      <c r="A1017" s="5">
        <f>TRUNC('Poliof40 - LIVROB'!$I$782)</f>
        <v>1</v>
      </c>
      <c r="B1017" s="4" t="s">
        <v>312</v>
      </c>
      <c r="C1017" s="5">
        <f>TRUNC('Poliof40 - LIVROB'!$I$783)</f>
        <v>2</v>
      </c>
      <c r="D1017" s="4" t="s">
        <v>312</v>
      </c>
      <c r="E1017" s="5">
        <f>TRUNC('Poliof40 - LIVROB'!$I$784)</f>
        <v>0</v>
      </c>
      <c r="F1017" s="4" t="s">
        <v>312</v>
      </c>
      <c r="G1017" s="5">
        <f>TRUNC('Poliof40 - LIVROB'!$I$785)</f>
        <v>0</v>
      </c>
      <c r="H1017" s="5"/>
      <c r="I1017" s="4" t="s">
        <v>0</v>
      </c>
      <c r="J1017" s="4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</row>
    <row r="1018" spans="1:27" ht="12.75" hidden="1">
      <c r="A1018" s="5">
        <f>TRUNC('Poliof40 - LIVROB'!$L$782)</f>
        <v>1</v>
      </c>
      <c r="B1018" s="4" t="s">
        <v>312</v>
      </c>
      <c r="C1018" s="5">
        <f>TRUNC('Poliof40 - LIVROB'!$L$783)</f>
        <v>2</v>
      </c>
      <c r="D1018" s="4" t="s">
        <v>312</v>
      </c>
      <c r="E1018" s="5">
        <f>TRUNC('Poliof40 - LIVROB'!$L$784)</f>
        <v>0</v>
      </c>
      <c r="F1018" s="4" t="s">
        <v>312</v>
      </c>
      <c r="G1018" s="5">
        <f>TRUNC('Poliof40 - LIVROB'!$L$785)</f>
        <v>0</v>
      </c>
      <c r="H1018" s="5"/>
      <c r="I1018" s="4" t="s">
        <v>0</v>
      </c>
      <c r="J1018" s="4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</row>
    <row r="1019" spans="1:27" ht="12.75" hidden="1">
      <c r="A1019" s="5">
        <f>TRUNC('Poliof40 - LIVROB'!$C$820)</f>
        <v>1</v>
      </c>
      <c r="B1019" s="4" t="s">
        <v>312</v>
      </c>
      <c r="C1019" s="5">
        <f>TRUNC('Poliof40 - LIVROB'!$C$821)</f>
        <v>2</v>
      </c>
      <c r="D1019" s="4" t="s">
        <v>312</v>
      </c>
      <c r="E1019" s="5">
        <f>TRUNC('Poliof40 - LIVROB'!$C$822)</f>
        <v>3</v>
      </c>
      <c r="F1019" s="4" t="s">
        <v>312</v>
      </c>
      <c r="G1019" s="5">
        <f>TRUNC('Poliof40 - LIVROB'!$C$823)</f>
        <v>4</v>
      </c>
      <c r="H1019" s="4" t="s">
        <v>312</v>
      </c>
      <c r="I1019" s="5">
        <f>TRUNC('Poliof40 - LIVROB'!$C$824)</f>
        <v>5</v>
      </c>
      <c r="J1019" s="4" t="s">
        <v>312</v>
      </c>
      <c r="K1019" s="5">
        <f>TRUNC('Poliof40 - LIVROB'!$C$825)</f>
        <v>0</v>
      </c>
      <c r="L1019" s="4" t="s">
        <v>312</v>
      </c>
      <c r="M1019" s="5">
        <f>TRUNC('Poliof40 - LIVROB'!$C$826)</f>
        <v>0</v>
      </c>
      <c r="N1019" s="4" t="s">
        <v>312</v>
      </c>
      <c r="O1019" s="5">
        <f>TRUNC('Poliof40 - LIVROB'!$C$827)</f>
        <v>0</v>
      </c>
      <c r="P1019" s="4" t="s">
        <v>312</v>
      </c>
      <c r="Q1019" s="5">
        <f>TRUNC('Poliof40 - LIVROB'!$C$828)</f>
        <v>0</v>
      </c>
      <c r="R1019" s="4" t="s">
        <v>312</v>
      </c>
      <c r="S1019" s="5">
        <f>TRUNC('Poliof40 - LIVROB'!$C$829)</f>
        <v>0</v>
      </c>
      <c r="T1019" s="4" t="s">
        <v>312</v>
      </c>
      <c r="U1019" s="5">
        <f>TRUNC('Poliof40 - LIVROB'!$C$830)</f>
        <v>0</v>
      </c>
      <c r="V1019" s="4" t="s">
        <v>312</v>
      </c>
      <c r="W1019" s="5">
        <f>TRUNC('Poliof40 - LIVROB'!$C$831)</f>
        <v>0</v>
      </c>
      <c r="X1019" s="4" t="s">
        <v>312</v>
      </c>
      <c r="Y1019" s="5">
        <f>TRUNC('Poliof40 - LIVROB'!$C$832)</f>
        <v>0</v>
      </c>
      <c r="Z1019" s="4" t="s">
        <v>312</v>
      </c>
      <c r="AA1019" s="1">
        <f>TRUNC('Poliof40 - LIVROB'!$C$833)</f>
        <v>0</v>
      </c>
    </row>
    <row r="1020" spans="1:27" ht="12.75" hidden="1">
      <c r="A1020" s="5">
        <f>TRUNC('Poliof40 - LIVROB'!$F$820)</f>
        <v>1</v>
      </c>
      <c r="B1020" s="4" t="s">
        <v>312</v>
      </c>
      <c r="C1020" s="5">
        <f>TRUNC('Poliof40 - LIVROB'!$F$821)</f>
        <v>2</v>
      </c>
      <c r="D1020" s="4" t="s">
        <v>312</v>
      </c>
      <c r="E1020" s="5">
        <f>TRUNC('Poliof40 - LIVROB'!$F$822)</f>
        <v>3</v>
      </c>
      <c r="F1020" s="4" t="s">
        <v>312</v>
      </c>
      <c r="G1020" s="5">
        <f>TRUNC('Poliof40 - LIVROB'!$F$823)</f>
        <v>4</v>
      </c>
      <c r="H1020" s="4" t="s">
        <v>312</v>
      </c>
      <c r="I1020" s="5">
        <f>TRUNC('Poliof40 - LIVROB'!$F$824)</f>
        <v>5</v>
      </c>
      <c r="J1020" s="4" t="s">
        <v>312</v>
      </c>
      <c r="K1020" s="5">
        <f>TRUNC('Poliof40 - LIVROB'!$F$825)</f>
        <v>0</v>
      </c>
      <c r="L1020" s="4" t="s">
        <v>312</v>
      </c>
      <c r="M1020" s="5">
        <f>TRUNC('Poliof40 - LIVROB'!$F$826)</f>
        <v>0</v>
      </c>
      <c r="N1020" s="4" t="s">
        <v>312</v>
      </c>
      <c r="O1020" s="5">
        <f>TRUNC('Poliof40 - LIVROB'!$F$827)</f>
        <v>0</v>
      </c>
      <c r="P1020" s="4" t="s">
        <v>312</v>
      </c>
      <c r="Q1020" s="5">
        <f>TRUNC('Poliof40 - LIVROB'!$F$828)</f>
        <v>0</v>
      </c>
      <c r="R1020" s="4" t="s">
        <v>312</v>
      </c>
      <c r="S1020" s="5">
        <f>TRUNC('Poliof40 - LIVROB'!$F$829)</f>
        <v>0</v>
      </c>
      <c r="T1020" s="4" t="s">
        <v>312</v>
      </c>
      <c r="U1020" s="5">
        <f>TRUNC('Poliof40 - LIVROB'!$F$830)</f>
        <v>0</v>
      </c>
      <c r="V1020" s="4" t="s">
        <v>312</v>
      </c>
      <c r="W1020" s="5">
        <f>TRUNC('Poliof40 - LIVROB'!$F$831)</f>
        <v>0</v>
      </c>
      <c r="X1020" s="4" t="s">
        <v>312</v>
      </c>
      <c r="Y1020" s="5">
        <f>TRUNC('Poliof40 - LIVROB'!$F$832)</f>
        <v>0</v>
      </c>
      <c r="Z1020" s="4" t="s">
        <v>312</v>
      </c>
      <c r="AA1020" s="1">
        <f>TRUNC('Poliof40 - LIVROB'!$F$833)</f>
        <v>0</v>
      </c>
    </row>
    <row r="1021" spans="1:27" ht="12.75" hidden="1">
      <c r="A1021" s="5">
        <f>TRUNC('Poliof40 - LIVROB'!$I$820)</f>
        <v>1</v>
      </c>
      <c r="B1021" s="4" t="s">
        <v>312</v>
      </c>
      <c r="C1021" s="5">
        <f>TRUNC('Poliof40 - LIVROB'!$I$821)</f>
        <v>2</v>
      </c>
      <c r="D1021" s="4" t="s">
        <v>312</v>
      </c>
      <c r="E1021" s="5">
        <f>TRUNC('Poliof40 - LIVROB'!$I$822)</f>
        <v>3</v>
      </c>
      <c r="F1021" s="4" t="s">
        <v>312</v>
      </c>
      <c r="G1021" s="5">
        <f>TRUNC('Poliof40 - LIVROB'!$I$823)</f>
        <v>4</v>
      </c>
      <c r="H1021" s="4" t="s">
        <v>312</v>
      </c>
      <c r="I1021" s="5">
        <f>TRUNC('Poliof40 - LIVROB'!$I$824)</f>
        <v>5</v>
      </c>
      <c r="J1021" s="4" t="s">
        <v>312</v>
      </c>
      <c r="K1021" s="5">
        <f>TRUNC('Poliof40 - LIVROB'!$I$825)</f>
        <v>0</v>
      </c>
      <c r="L1021" s="4" t="s">
        <v>312</v>
      </c>
      <c r="M1021" s="5">
        <f>TRUNC('Poliof40 - LIVROB'!$I$826)</f>
        <v>0</v>
      </c>
      <c r="N1021" s="4" t="s">
        <v>312</v>
      </c>
      <c r="O1021" s="5">
        <f>TRUNC('Poliof40 - LIVROB'!$I$827)</f>
        <v>0</v>
      </c>
      <c r="P1021" s="4" t="s">
        <v>312</v>
      </c>
      <c r="Q1021" s="5">
        <f>TRUNC('Poliof40 - LIVROB'!$I$828)</f>
        <v>0</v>
      </c>
      <c r="R1021" s="4" t="s">
        <v>312</v>
      </c>
      <c r="S1021" s="5">
        <f>TRUNC('Poliof40 - LIVROB'!$I$829)</f>
        <v>0</v>
      </c>
      <c r="T1021" s="4" t="s">
        <v>312</v>
      </c>
      <c r="U1021" s="5">
        <f>TRUNC('Poliof40 - LIVROB'!$I$830)</f>
        <v>0</v>
      </c>
      <c r="V1021" s="4" t="s">
        <v>312</v>
      </c>
      <c r="W1021" s="5">
        <f>TRUNC('Poliof40 - LIVROB'!$I$831)</f>
        <v>0</v>
      </c>
      <c r="X1021" s="4" t="s">
        <v>312</v>
      </c>
      <c r="Y1021" s="5">
        <f>TRUNC('Poliof40 - LIVROB'!$I$832)</f>
        <v>0</v>
      </c>
      <c r="Z1021" s="4" t="s">
        <v>312</v>
      </c>
      <c r="AA1021" s="1">
        <f>TRUNC('Poliof40 - LIVROB'!$I$833)</f>
        <v>0</v>
      </c>
    </row>
    <row r="1022" spans="1:27" ht="12.75" hidden="1">
      <c r="A1022" s="5">
        <f>TRUNC('Poliof40 - LIVROB'!$L$820)</f>
        <v>1</v>
      </c>
      <c r="B1022" s="4" t="s">
        <v>312</v>
      </c>
      <c r="C1022" s="5">
        <f>TRUNC('Poliof40 - LIVROB'!$L$821)</f>
        <v>2</v>
      </c>
      <c r="D1022" s="4" t="s">
        <v>312</v>
      </c>
      <c r="E1022" s="5">
        <f>TRUNC('Poliof40 - LIVROB'!$L$822)</f>
        <v>3</v>
      </c>
      <c r="F1022" s="4" t="s">
        <v>312</v>
      </c>
      <c r="G1022" s="5">
        <f>TRUNC('Poliof40 - LIVROB'!$L$823)</f>
        <v>4</v>
      </c>
      <c r="H1022" s="4" t="s">
        <v>312</v>
      </c>
      <c r="I1022" s="5">
        <f>TRUNC('Poliof40 - LIVROB'!$L$824)</f>
        <v>5</v>
      </c>
      <c r="J1022" s="4" t="s">
        <v>312</v>
      </c>
      <c r="K1022" s="5">
        <f>TRUNC('Poliof40 - LIVROB'!$L$825)</f>
        <v>0</v>
      </c>
      <c r="L1022" s="4" t="s">
        <v>312</v>
      </c>
      <c r="M1022" s="5">
        <f>TRUNC('Poliof40 - LIVROB'!$L$826)</f>
        <v>0</v>
      </c>
      <c r="N1022" s="4" t="s">
        <v>312</v>
      </c>
      <c r="O1022" s="5">
        <f>TRUNC('Poliof40 - LIVROB'!$L$827)</f>
        <v>0</v>
      </c>
      <c r="P1022" s="4" t="s">
        <v>312</v>
      </c>
      <c r="Q1022" s="5">
        <f>TRUNC('Poliof40 - LIVROB'!$L$828)</f>
        <v>0</v>
      </c>
      <c r="R1022" s="4" t="s">
        <v>312</v>
      </c>
      <c r="S1022" s="5">
        <f>TRUNC('Poliof40 - LIVROB'!$L$829)</f>
        <v>0</v>
      </c>
      <c r="T1022" s="4" t="s">
        <v>312</v>
      </c>
      <c r="U1022" s="5">
        <f>TRUNC('Poliof40 - LIVROB'!$L$830)</f>
        <v>0</v>
      </c>
      <c r="V1022" s="4" t="s">
        <v>312</v>
      </c>
      <c r="W1022" s="5">
        <f>TRUNC('Poliof40 - LIVROB'!$L$831)</f>
        <v>0</v>
      </c>
      <c r="X1022" s="4" t="s">
        <v>312</v>
      </c>
      <c r="Y1022" s="5">
        <f>TRUNC('Poliof40 - LIVROB'!$L$832)</f>
        <v>0</v>
      </c>
      <c r="Z1022" s="4" t="s">
        <v>312</v>
      </c>
      <c r="AA1022" s="1">
        <f>TRUNC('Poliof40 - LIVROB'!$L$833)</f>
        <v>0</v>
      </c>
    </row>
    <row r="1023" spans="1:27" ht="12.75" hidden="1">
      <c r="A1023" s="5">
        <f>TRUNC('Poliof40 - LIVROB'!$C$864)</f>
        <v>1</v>
      </c>
      <c r="B1023" s="4" t="s">
        <v>312</v>
      </c>
      <c r="C1023" s="5">
        <f>TRUNC('Poliof40 - LIVROB'!$C$865)</f>
        <v>2</v>
      </c>
      <c r="D1023" s="4" t="s">
        <v>312</v>
      </c>
      <c r="E1023" s="5">
        <f>TRUNC('Poliof40 - LIVROB'!$C$866)</f>
        <v>3</v>
      </c>
      <c r="F1023" s="4" t="s">
        <v>312</v>
      </c>
      <c r="G1023" s="5">
        <f>TRUNC('Poliof40 - LIVROB'!$C$867)</f>
        <v>4</v>
      </c>
      <c r="H1023" s="4" t="s">
        <v>312</v>
      </c>
      <c r="I1023" s="5">
        <f>TRUNC('Poliof40 - LIVROB'!$C$868)</f>
        <v>0</v>
      </c>
      <c r="J1023" s="4" t="s">
        <v>312</v>
      </c>
      <c r="K1023" s="5">
        <f>TRUNC('Poliof40 - LIVROB'!$C$869)</f>
        <v>0</v>
      </c>
      <c r="L1023" s="4" t="s">
        <v>312</v>
      </c>
      <c r="M1023" s="5">
        <f>TRUNC('Poliof40 - LIVROB'!$C$870)</f>
        <v>0</v>
      </c>
      <c r="N1023" s="4" t="s">
        <v>312</v>
      </c>
      <c r="O1023" s="5">
        <f>TRUNC('Poliof40 - LIVROB'!$C$871)</f>
        <v>0</v>
      </c>
      <c r="P1023" s="4"/>
      <c r="Q1023" s="5"/>
      <c r="R1023" s="4"/>
      <c r="S1023" s="5"/>
      <c r="T1023" s="5"/>
      <c r="U1023" s="5"/>
      <c r="V1023" s="5"/>
      <c r="W1023" s="5"/>
      <c r="X1023" s="5"/>
      <c r="Y1023" s="5"/>
      <c r="Z1023" s="5"/>
      <c r="AA1023"/>
    </row>
    <row r="1024" spans="1:27" ht="12.75" hidden="1">
      <c r="A1024" s="5">
        <f>TRUNC('Poliof40 - LIVROB'!$F$864)</f>
        <v>1</v>
      </c>
      <c r="B1024" s="4" t="s">
        <v>312</v>
      </c>
      <c r="C1024" s="5">
        <f>TRUNC('Poliof40 - LIVROB'!$F$865)</f>
        <v>2</v>
      </c>
      <c r="D1024" s="4" t="s">
        <v>312</v>
      </c>
      <c r="E1024" s="5">
        <f>TRUNC('Poliof40 - LIVROB'!$F$866)</f>
        <v>3</v>
      </c>
      <c r="F1024" s="4" t="s">
        <v>312</v>
      </c>
      <c r="G1024" s="5">
        <f>TRUNC('Poliof40 - LIVROB'!$F$867)</f>
        <v>4</v>
      </c>
      <c r="H1024" s="4" t="s">
        <v>312</v>
      </c>
      <c r="I1024" s="5">
        <f>TRUNC('Poliof40 - LIVROB'!$F$868)</f>
        <v>0</v>
      </c>
      <c r="J1024" s="4" t="s">
        <v>312</v>
      </c>
      <c r="K1024" s="5">
        <f>TRUNC('Poliof40 - LIVROB'!$F$869)</f>
        <v>0</v>
      </c>
      <c r="L1024" s="4" t="s">
        <v>312</v>
      </c>
      <c r="M1024" s="5">
        <f>TRUNC('Poliof40 - LIVROB'!$F$870)</f>
        <v>0</v>
      </c>
      <c r="N1024" s="4" t="s">
        <v>312</v>
      </c>
      <c r="O1024" s="5">
        <f>TRUNC('Poliof40 - LIVROB'!$F$871)</f>
        <v>0</v>
      </c>
      <c r="P1024" s="4"/>
      <c r="Q1024" s="5"/>
      <c r="R1024" s="4"/>
      <c r="S1024" s="5"/>
      <c r="T1024" s="5"/>
      <c r="U1024" s="5"/>
      <c r="V1024" s="5"/>
      <c r="W1024" s="5"/>
      <c r="X1024" s="5"/>
      <c r="Y1024" s="5"/>
      <c r="Z1024" s="5"/>
      <c r="AA1024"/>
    </row>
    <row r="1025" spans="1:27" ht="12.75" hidden="1">
      <c r="A1025" s="5">
        <f>TRUNC('Poliof40 - LIVROB'!$I$864)</f>
        <v>1</v>
      </c>
      <c r="B1025" s="4" t="s">
        <v>312</v>
      </c>
      <c r="C1025" s="5">
        <f>TRUNC('Poliof40 - LIVROB'!$I$865)</f>
        <v>2</v>
      </c>
      <c r="D1025" s="4" t="s">
        <v>312</v>
      </c>
      <c r="E1025" s="5">
        <f>TRUNC('Poliof40 - LIVROB'!$I$866)</f>
        <v>3</v>
      </c>
      <c r="F1025" s="4" t="s">
        <v>312</v>
      </c>
      <c r="G1025" s="5">
        <f>TRUNC('Poliof40 - LIVROB'!$I$867)</f>
        <v>4</v>
      </c>
      <c r="H1025" s="4" t="s">
        <v>312</v>
      </c>
      <c r="I1025" s="5">
        <f>TRUNC('Poliof40 - LIVROB'!$I$868)</f>
        <v>0</v>
      </c>
      <c r="J1025" s="4" t="s">
        <v>312</v>
      </c>
      <c r="K1025" s="5">
        <f>TRUNC('Poliof40 - LIVROB'!$I$869)</f>
        <v>0</v>
      </c>
      <c r="L1025" s="4" t="s">
        <v>312</v>
      </c>
      <c r="M1025" s="5">
        <f>TRUNC('Poliof40 - LIVROB'!$I$870)</f>
        <v>0</v>
      </c>
      <c r="N1025" s="4" t="s">
        <v>312</v>
      </c>
      <c r="O1025" s="5">
        <f>TRUNC('Poliof40 - LIVROB'!$I$871)</f>
        <v>0</v>
      </c>
      <c r="P1025" s="4"/>
      <c r="Q1025" s="5"/>
      <c r="R1025" s="4"/>
      <c r="S1025" s="5"/>
      <c r="T1025" s="5"/>
      <c r="U1025" s="5"/>
      <c r="V1025" s="5"/>
      <c r="W1025" s="5"/>
      <c r="X1025" s="5"/>
      <c r="Y1025" s="5"/>
      <c r="Z1025" s="5"/>
      <c r="AA1025"/>
    </row>
    <row r="1026" spans="1:27" ht="12.75" hidden="1">
      <c r="A1026" s="5">
        <f>TRUNC('Poliof40 - LIVROB'!$L$864)</f>
        <v>1</v>
      </c>
      <c r="B1026" s="4" t="s">
        <v>312</v>
      </c>
      <c r="C1026" s="5">
        <f>TRUNC('Poliof40 - LIVROB'!$L$865)</f>
        <v>2</v>
      </c>
      <c r="D1026" s="4" t="s">
        <v>312</v>
      </c>
      <c r="E1026" s="5">
        <f>TRUNC('Poliof40 - LIVROB'!$L$866)</f>
        <v>3</v>
      </c>
      <c r="F1026" s="4" t="s">
        <v>312</v>
      </c>
      <c r="G1026" s="5">
        <f>TRUNC('Poliof40 - LIVROB'!$L$867)</f>
        <v>4</v>
      </c>
      <c r="H1026" s="4" t="s">
        <v>312</v>
      </c>
      <c r="I1026" s="5">
        <f>TRUNC('Poliof40 - LIVROB'!$L$868)</f>
        <v>0</v>
      </c>
      <c r="J1026" s="4" t="s">
        <v>312</v>
      </c>
      <c r="K1026" s="5">
        <f>TRUNC('Poliof40 - LIVROB'!$L$869)</f>
        <v>0</v>
      </c>
      <c r="L1026" s="4" t="s">
        <v>312</v>
      </c>
      <c r="M1026" s="5">
        <f>TRUNC('Poliof40 - LIVROB'!$L$870)</f>
        <v>0</v>
      </c>
      <c r="N1026" s="4" t="s">
        <v>312</v>
      </c>
      <c r="O1026" s="5">
        <f>TRUNC('Poliof40 - LIVROB'!$L$871)</f>
        <v>0</v>
      </c>
      <c r="P1026" s="4"/>
      <c r="Q1026" s="5"/>
      <c r="R1026" s="4"/>
      <c r="S1026" s="5"/>
      <c r="T1026" s="5"/>
      <c r="U1026" s="5"/>
      <c r="V1026" s="5"/>
      <c r="W1026" s="5"/>
      <c r="X1026" s="5"/>
      <c r="Y1026" s="5"/>
      <c r="Z1026" s="5"/>
      <c r="AA1026"/>
    </row>
    <row r="1027" spans="1:27" ht="12.75" hidden="1">
      <c r="A1027" s="5">
        <f>TRUNC('Poliof40 - LIVROB'!$D$683)</f>
        <v>0</v>
      </c>
      <c r="B1027" s="4" t="s">
        <v>312</v>
      </c>
      <c r="C1027" s="5">
        <f>TRUNC('Poliof40 - LIVROB'!$D$684)</f>
        <v>0</v>
      </c>
      <c r="D1027" s="4" t="s">
        <v>312</v>
      </c>
      <c r="E1027" s="5">
        <f>TRUNC('Poliof40 - LIVROB'!$D$685)</f>
        <v>0</v>
      </c>
      <c r="F1027" s="4" t="s">
        <v>312</v>
      </c>
      <c r="G1027" s="5">
        <f>TRUNC('Poliof40 - LIVROB'!$D$686)</f>
        <v>0</v>
      </c>
      <c r="H1027" s="4" t="s">
        <v>312</v>
      </c>
      <c r="I1027" s="5">
        <f>TRUNC('Poliof40 - LIVROB'!$D$687)</f>
        <v>0</v>
      </c>
      <c r="J1027" s="4" t="s">
        <v>312</v>
      </c>
      <c r="K1027" s="5">
        <f>TRUNC('Poliof40 - LIVROB'!$D$688)</f>
        <v>0</v>
      </c>
      <c r="L1027" s="4" t="s">
        <v>312</v>
      </c>
      <c r="M1027" s="5">
        <f>TRUNC('Poliof40 - LIVROB'!$D$689)</f>
        <v>0</v>
      </c>
      <c r="N1027" s="4" t="s">
        <v>312</v>
      </c>
      <c r="O1027" s="5">
        <f>TRUNC('Poliof40 - LIVROB'!$D$690)</f>
        <v>0</v>
      </c>
      <c r="P1027" s="4" t="s">
        <v>312</v>
      </c>
      <c r="Q1027" s="5">
        <f>TRUNC('Poliof40 - LIVROB'!$D$691)</f>
        <v>0</v>
      </c>
      <c r="R1027" s="4" t="s">
        <v>312</v>
      </c>
      <c r="S1027" s="5">
        <f>TRUNC('Poliof40 - LIVROB'!$D$692)</f>
        <v>0</v>
      </c>
      <c r="T1027" s="5"/>
      <c r="U1027" s="5"/>
      <c r="V1027" s="5"/>
      <c r="W1027" s="5"/>
      <c r="X1027" s="5"/>
      <c r="Y1027" s="5"/>
      <c r="Z1027" s="5"/>
      <c r="AA1027"/>
    </row>
    <row r="1028" spans="1:27" ht="12.75" hidden="1">
      <c r="A1028" s="5">
        <f>TRUNC('Poliof40 - LIVROB'!$G$683)</f>
        <v>0</v>
      </c>
      <c r="B1028" s="4" t="s">
        <v>312</v>
      </c>
      <c r="C1028" s="5">
        <f>TRUNC('Poliof40 - LIVROB'!$G$684)</f>
        <v>0</v>
      </c>
      <c r="D1028" s="4" t="s">
        <v>312</v>
      </c>
      <c r="E1028" s="5">
        <f>TRUNC('Poliof40 - LIVROB'!$G$685)</f>
        <v>0</v>
      </c>
      <c r="F1028" s="4" t="s">
        <v>312</v>
      </c>
      <c r="G1028" s="5">
        <f>TRUNC('Poliof40 - LIVROB'!$G$686)</f>
        <v>0</v>
      </c>
      <c r="H1028" s="4" t="s">
        <v>312</v>
      </c>
      <c r="I1028" s="5">
        <f>TRUNC('Poliof40 - LIVROB'!$G$687)</f>
        <v>0</v>
      </c>
      <c r="J1028" s="4" t="s">
        <v>312</v>
      </c>
      <c r="K1028" s="5">
        <f>TRUNC('Poliof40 - LIVROB'!$G$688)</f>
        <v>0</v>
      </c>
      <c r="L1028" s="4" t="s">
        <v>312</v>
      </c>
      <c r="M1028" s="5">
        <f>TRUNC('Poliof40 - LIVROB'!$G$689)</f>
        <v>0</v>
      </c>
      <c r="N1028" s="4" t="s">
        <v>312</v>
      </c>
      <c r="O1028" s="5">
        <f>TRUNC('Poliof40 - LIVROB'!$G$690)</f>
        <v>0</v>
      </c>
      <c r="P1028" s="4" t="s">
        <v>312</v>
      </c>
      <c r="Q1028" s="5">
        <f>TRUNC('Poliof40 - LIVROB'!$G$691)</f>
        <v>0</v>
      </c>
      <c r="R1028" s="4" t="s">
        <v>312</v>
      </c>
      <c r="S1028" s="5">
        <f>TRUNC('Poliof40 - LIVROB'!$G$692)</f>
        <v>0</v>
      </c>
      <c r="T1028" s="5"/>
      <c r="U1028" s="5"/>
      <c r="V1028" s="5"/>
      <c r="W1028" s="5"/>
      <c r="X1028" s="5"/>
      <c r="Y1028" s="5"/>
      <c r="Z1028" s="5"/>
      <c r="AA1028"/>
    </row>
    <row r="1029" spans="1:27" ht="12.75" hidden="1">
      <c r="A1029" s="5">
        <f>TRUNC('Poliof40 - LIVROB'!$J$683)</f>
        <v>0</v>
      </c>
      <c r="B1029" s="4" t="s">
        <v>312</v>
      </c>
      <c r="C1029" s="5">
        <f>TRUNC('Poliof40 - LIVROB'!$J$684)</f>
        <v>0</v>
      </c>
      <c r="D1029" s="4" t="s">
        <v>312</v>
      </c>
      <c r="E1029" s="5">
        <f>TRUNC('Poliof40 - LIVROB'!$J$685)</f>
        <v>0</v>
      </c>
      <c r="F1029" s="4" t="s">
        <v>312</v>
      </c>
      <c r="G1029" s="5">
        <f>TRUNC('Poliof40 - LIVROB'!$J$686)</f>
        <v>0</v>
      </c>
      <c r="H1029" s="4" t="s">
        <v>312</v>
      </c>
      <c r="I1029" s="5">
        <f>TRUNC('Poliof40 - LIVROB'!$J$687)</f>
        <v>0</v>
      </c>
      <c r="J1029" s="4" t="s">
        <v>312</v>
      </c>
      <c r="K1029" s="5">
        <f>TRUNC('Poliof40 - LIVROB'!$J$688)</f>
        <v>0</v>
      </c>
      <c r="L1029" s="4" t="s">
        <v>312</v>
      </c>
      <c r="M1029" s="5">
        <f>TRUNC('Poliof40 - LIVROB'!$J$689)</f>
        <v>0</v>
      </c>
      <c r="N1029" s="4" t="s">
        <v>312</v>
      </c>
      <c r="O1029" s="5">
        <f>TRUNC('Poliof40 - LIVROB'!$J$690)</f>
        <v>0</v>
      </c>
      <c r="P1029" s="4" t="s">
        <v>312</v>
      </c>
      <c r="Q1029" s="5">
        <f>TRUNC('Poliof40 - LIVROB'!$G$691)</f>
        <v>0</v>
      </c>
      <c r="R1029" s="4" t="s">
        <v>312</v>
      </c>
      <c r="S1029" s="5">
        <f>TRUNC('Poliof40 - LIVROB'!$J$692)</f>
        <v>0</v>
      </c>
      <c r="T1029" s="5"/>
      <c r="U1029" s="5"/>
      <c r="V1029" s="5"/>
      <c r="W1029" s="5"/>
      <c r="X1029" s="5"/>
      <c r="Y1029" s="5"/>
      <c r="Z1029" s="5"/>
      <c r="AA1029"/>
    </row>
    <row r="1030" spans="1:27" ht="12.75" hidden="1">
      <c r="A1030" s="5">
        <f>TRUNC('Poliof40 - LIVROB'!$M$683)</f>
        <v>0</v>
      </c>
      <c r="B1030" s="4" t="s">
        <v>312</v>
      </c>
      <c r="C1030" s="5">
        <f>TRUNC('Poliof40 - LIVROB'!$M$684)</f>
        <v>0</v>
      </c>
      <c r="D1030" s="4" t="s">
        <v>312</v>
      </c>
      <c r="E1030" s="5">
        <f>TRUNC('Poliof40 - LIVROB'!$M$685)</f>
        <v>0</v>
      </c>
      <c r="F1030" s="4" t="s">
        <v>312</v>
      </c>
      <c r="G1030" s="5">
        <f>TRUNC('Poliof40 - LIVROB'!$M$686)</f>
        <v>0</v>
      </c>
      <c r="H1030" s="4" t="s">
        <v>312</v>
      </c>
      <c r="I1030" s="5">
        <f>TRUNC('Poliof40 - LIVROB'!$M$687)</f>
        <v>0</v>
      </c>
      <c r="J1030" s="4" t="s">
        <v>312</v>
      </c>
      <c r="K1030" s="5">
        <f>TRUNC('Poliof40 - LIVROB'!$M$688)</f>
        <v>0</v>
      </c>
      <c r="L1030" s="4" t="s">
        <v>312</v>
      </c>
      <c r="M1030" s="5">
        <f>TRUNC('Poliof40 - LIVROB'!$M$689)</f>
        <v>0</v>
      </c>
      <c r="N1030" s="4" t="s">
        <v>312</v>
      </c>
      <c r="O1030" s="5">
        <f>TRUNC('Poliof40 - LIVROB'!$M$690)</f>
        <v>0</v>
      </c>
      <c r="P1030" s="4" t="s">
        <v>312</v>
      </c>
      <c r="Q1030" s="5">
        <f>TRUNC('Poliof40 - LIVROB'!$M$691)</f>
        <v>0</v>
      </c>
      <c r="R1030" s="4" t="s">
        <v>312</v>
      </c>
      <c r="S1030" s="5">
        <f>TRUNC('Poliof40 - LIVROB'!$M$692)</f>
        <v>0</v>
      </c>
      <c r="T1030" s="5"/>
      <c r="U1030" s="5"/>
      <c r="V1030" s="5"/>
      <c r="W1030" s="5"/>
      <c r="X1030" s="5"/>
      <c r="Y1030" s="5"/>
      <c r="Z1030" s="5"/>
      <c r="AA1030"/>
    </row>
    <row r="1031" spans="1:27" ht="12.75" hidden="1">
      <c r="A1031" s="5">
        <f>TRUNC('Poliof40 - LIVROB'!$D$719)</f>
        <v>8</v>
      </c>
      <c r="B1031" s="4" t="s">
        <v>312</v>
      </c>
      <c r="C1031" s="5">
        <f>TRUNC('Poliof40 - LIVROB'!$D$720)</f>
        <v>5</v>
      </c>
      <c r="D1031" s="4" t="s">
        <v>312</v>
      </c>
      <c r="E1031" s="5">
        <f>TRUNC('Poliof40 - LIVROB'!$D$721)</f>
        <v>8</v>
      </c>
      <c r="F1031" s="4" t="s">
        <v>312</v>
      </c>
      <c r="G1031" s="5">
        <f>TRUNC('Poliof40 - LIVROB'!$D$722)</f>
        <v>0</v>
      </c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/>
    </row>
    <row r="1032" spans="1:27" ht="12.75" hidden="1">
      <c r="A1032" s="5">
        <f>TRUNC('Poliof40 - LIVROB'!$G$719)</f>
        <v>8</v>
      </c>
      <c r="B1032" s="4" t="s">
        <v>312</v>
      </c>
      <c r="C1032" s="5">
        <f>TRUNC('Poliof40 - LIVROB'!$G$720)</f>
        <v>5</v>
      </c>
      <c r="D1032" s="4" t="s">
        <v>312</v>
      </c>
      <c r="E1032" s="5">
        <f>TRUNC('Poliof40 - LIVROB'!$G$721)</f>
        <v>8</v>
      </c>
      <c r="F1032" s="4" t="s">
        <v>312</v>
      </c>
      <c r="G1032" s="5">
        <f>TRUNC('Poliof40 - LIVROB'!$G$722)</f>
        <v>0</v>
      </c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/>
    </row>
    <row r="1033" spans="1:27" ht="12.75" hidden="1">
      <c r="A1033" s="5">
        <f>TRUNC('Poliof40 - LIVROB'!$J$719)</f>
        <v>5</v>
      </c>
      <c r="B1033" s="4" t="s">
        <v>312</v>
      </c>
      <c r="C1033" s="5">
        <f>TRUNC('Poliof40 - LIVROB'!$J$720)</f>
        <v>5</v>
      </c>
      <c r="D1033" s="4" t="s">
        <v>312</v>
      </c>
      <c r="E1033" s="5">
        <f>TRUNC('Poliof40 - LIVROB'!$J$721)</f>
        <v>6</v>
      </c>
      <c r="F1033" s="4" t="s">
        <v>312</v>
      </c>
      <c r="G1033" s="5">
        <f>TRUNC('Poliof40 - LIVROB'!$J$722)</f>
        <v>0</v>
      </c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/>
    </row>
    <row r="1034" spans="1:27" ht="12.75" hidden="1">
      <c r="A1034" s="5">
        <f>TRUNC('Poliof40 - LIVROB'!$M$719)</f>
        <v>5</v>
      </c>
      <c r="B1034" s="4" t="s">
        <v>312</v>
      </c>
      <c r="C1034" s="5">
        <f>TRUNC('Poliof40 - LIVROB'!$M$720)</f>
        <v>5</v>
      </c>
      <c r="D1034" s="4" t="s">
        <v>312</v>
      </c>
      <c r="E1034" s="5">
        <f>TRUNC('Poliof40 - LIVROB'!$M$721)</f>
        <v>6</v>
      </c>
      <c r="F1034" s="4" t="s">
        <v>312</v>
      </c>
      <c r="G1034" s="5">
        <f>TRUNC('Poliof40 - LIVROB'!$M$722)</f>
        <v>0</v>
      </c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/>
    </row>
    <row r="1035" spans="1:27" ht="12.75" hidden="1">
      <c r="A1035" s="5">
        <f>TRUNC('Poliof40 - LIVROB'!$D$747)</f>
        <v>22</v>
      </c>
      <c r="B1035" s="4" t="s">
        <v>312</v>
      </c>
      <c r="C1035" s="5">
        <f>TRUNC('Poliof40 - LIVROB'!$D$748)</f>
        <v>10</v>
      </c>
      <c r="D1035" s="4" t="s">
        <v>312</v>
      </c>
      <c r="E1035" s="5">
        <f>TRUNC('Poliof40 - LIVROB'!$D$749)</f>
        <v>16</v>
      </c>
      <c r="F1035" s="4" t="s">
        <v>312</v>
      </c>
      <c r="G1035" s="5">
        <f>TRUNC('Poliof40 - LIVROB'!$D$750)</f>
        <v>0</v>
      </c>
      <c r="H1035" s="4" t="s">
        <v>312</v>
      </c>
      <c r="I1035" s="5">
        <f>TRUNC('Poliof40 - LIVROB'!$D$751)</f>
        <v>0</v>
      </c>
      <c r="J1035" s="4" t="s">
        <v>312</v>
      </c>
      <c r="K1035" s="5">
        <f>TRUNC('Poliof40 - LIVROB'!$D$752)</f>
        <v>0</v>
      </c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/>
    </row>
    <row r="1036" spans="1:27" ht="12.75" hidden="1">
      <c r="A1036" s="5">
        <f>TRUNC('Poliof40 - LIVROB'!$G$747)</f>
        <v>20</v>
      </c>
      <c r="B1036" s="4" t="s">
        <v>312</v>
      </c>
      <c r="C1036" s="5">
        <f>TRUNC('Poliof40 - LIVROB'!$G$748)</f>
        <v>10</v>
      </c>
      <c r="D1036" s="4" t="s">
        <v>312</v>
      </c>
      <c r="E1036" s="5">
        <f>TRUNC('Poliof40 - LIVROB'!$G$749)</f>
        <v>16</v>
      </c>
      <c r="F1036" s="4" t="s">
        <v>312</v>
      </c>
      <c r="G1036" s="5">
        <f>TRUNC('Poliof40 - LIVROB'!$G$750)</f>
        <v>0</v>
      </c>
      <c r="H1036" s="4" t="s">
        <v>312</v>
      </c>
      <c r="I1036" s="5">
        <f>TRUNC('Poliof40 - LIVROB'!$G$751)</f>
        <v>0</v>
      </c>
      <c r="J1036" s="4" t="s">
        <v>312</v>
      </c>
      <c r="K1036" s="5">
        <f>TRUNC('Poliof40 - LIVROB'!$G$752)</f>
        <v>0</v>
      </c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/>
    </row>
    <row r="1037" spans="1:27" ht="12.75" hidden="1">
      <c r="A1037" s="5">
        <f>TRUNC('Poliof40 - LIVROB'!$J$747)</f>
        <v>11</v>
      </c>
      <c r="B1037" s="4" t="s">
        <v>312</v>
      </c>
      <c r="C1037" s="5">
        <f>TRUNC('Poliof40 - LIVROB'!$J$748)</f>
        <v>10</v>
      </c>
      <c r="D1037" s="4" t="s">
        <v>312</v>
      </c>
      <c r="E1037" s="5">
        <f>TRUNC('Poliof40 - LIVROB'!$J$749)</f>
        <v>16</v>
      </c>
      <c r="F1037" s="4" t="s">
        <v>312</v>
      </c>
      <c r="G1037" s="5">
        <f>TRUNC('Poliof40 - LIVROB'!$J$750)</f>
        <v>0</v>
      </c>
      <c r="H1037" s="4" t="s">
        <v>312</v>
      </c>
      <c r="I1037" s="5">
        <f>TRUNC('Poliof40 - LIVROB'!$J$751)</f>
        <v>0</v>
      </c>
      <c r="J1037" s="4" t="s">
        <v>312</v>
      </c>
      <c r="K1037" s="5">
        <f>TRUNC('Poliof40 - LIVROB'!$J$752)</f>
        <v>0</v>
      </c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/>
    </row>
    <row r="1038" spans="1:27" ht="12.75" hidden="1">
      <c r="A1038" s="5">
        <f>TRUNC('Poliof40 - LIVROB'!$M$747)</f>
        <v>5</v>
      </c>
      <c r="B1038" s="4" t="s">
        <v>312</v>
      </c>
      <c r="C1038" s="5">
        <f>TRUNC('Poliof40 - LIVROB'!$M$748)</f>
        <v>10</v>
      </c>
      <c r="D1038" s="4" t="s">
        <v>312</v>
      </c>
      <c r="E1038" s="5">
        <f>TRUNC('Poliof40 - LIVROB'!$M$749)</f>
        <v>16</v>
      </c>
      <c r="F1038" s="4" t="s">
        <v>312</v>
      </c>
      <c r="G1038" s="5">
        <f>TRUNC('Poliof40 - LIVROB'!$M$750)</f>
        <v>0</v>
      </c>
      <c r="H1038" s="4" t="s">
        <v>312</v>
      </c>
      <c r="I1038" s="5">
        <f>TRUNC('Poliof40 - LIVROB'!$M$751)</f>
        <v>0</v>
      </c>
      <c r="J1038" s="4" t="s">
        <v>312</v>
      </c>
      <c r="K1038" s="5">
        <f>TRUNC('Poliof40 - LIVROB'!$M$752)</f>
        <v>0</v>
      </c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/>
    </row>
    <row r="1039" spans="1:27" ht="12.75" hidden="1">
      <c r="A1039" s="5">
        <f>TRUNC('Poliof40 - LIVROB'!$D$782)</f>
        <v>53</v>
      </c>
      <c r="B1039" s="4" t="s">
        <v>312</v>
      </c>
      <c r="C1039" s="5">
        <f>TRUNC('Poliof40 - LIVROB'!$D$783)</f>
        <v>24</v>
      </c>
      <c r="D1039" s="4" t="s">
        <v>312</v>
      </c>
      <c r="E1039" s="5">
        <f>TRUNC('Poliof40 - LIVROB'!$D$784)</f>
        <v>0</v>
      </c>
      <c r="F1039" s="4" t="s">
        <v>312</v>
      </c>
      <c r="G1039" s="5">
        <f>TRUNC('Poliof40 - LIVROB'!$D$785)</f>
        <v>0</v>
      </c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/>
    </row>
    <row r="1040" spans="1:27" ht="12.75" hidden="1">
      <c r="A1040" s="5">
        <f>TRUNC('Poliof40 - LIVROB'!$G$782)</f>
        <v>22</v>
      </c>
      <c r="B1040" s="4" t="s">
        <v>312</v>
      </c>
      <c r="C1040" s="5">
        <f>TRUNC('Poliof40 - LIVROB'!$G$783)</f>
        <v>39</v>
      </c>
      <c r="D1040" s="4" t="s">
        <v>312</v>
      </c>
      <c r="E1040" s="5">
        <f>TRUNC('Poliof40 - LIVROB'!$G$784)</f>
        <v>0</v>
      </c>
      <c r="F1040" s="4" t="s">
        <v>312</v>
      </c>
      <c r="G1040" s="5">
        <f>TRUNC('Poliof40 - LIVROB'!$G$785)</f>
        <v>0</v>
      </c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/>
    </row>
    <row r="1041" spans="1:27" ht="12.75" hidden="1">
      <c r="A1041" s="5">
        <f>TRUNC('Poliof40 - LIVROB'!$J$782)</f>
        <v>22</v>
      </c>
      <c r="B1041" s="4" t="s">
        <v>312</v>
      </c>
      <c r="C1041" s="5">
        <f>TRUNC('Poliof40 - LIVROB'!$J$783)</f>
        <v>33</v>
      </c>
      <c r="D1041" s="4" t="s">
        <v>312</v>
      </c>
      <c r="E1041" s="5">
        <f>TRUNC('Poliof40 - LIVROB'!$J$784)</f>
        <v>0</v>
      </c>
      <c r="F1041" s="4" t="s">
        <v>312</v>
      </c>
      <c r="G1041" s="5">
        <f>TRUNC('Poliof40 - LIVROB'!$J$785)</f>
        <v>0</v>
      </c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/>
    </row>
    <row r="1042" spans="1:27" ht="12.75" hidden="1">
      <c r="A1042" s="5">
        <f>TRUNC('Poliof40 - LIVROB'!$M$782)</f>
        <v>29</v>
      </c>
      <c r="B1042" s="4" t="s">
        <v>312</v>
      </c>
      <c r="C1042" s="5">
        <f>TRUNC('Poliof40 - LIVROB'!$M$783)</f>
        <v>62</v>
      </c>
      <c r="D1042" s="4" t="s">
        <v>312</v>
      </c>
      <c r="E1042" s="5">
        <f>TRUNC('Poliof40 - LIVROB'!$M$784)</f>
        <v>0</v>
      </c>
      <c r="F1042" s="4" t="s">
        <v>312</v>
      </c>
      <c r="G1042" s="5">
        <f>TRUNC('Poliof40 - LIVROB'!$M$785)</f>
        <v>0</v>
      </c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/>
    </row>
    <row r="1043" spans="1:27" ht="12.75" hidden="1">
      <c r="A1043" s="5">
        <f>TRUNC('Poliof40 - LIVROB'!$D$820)</f>
        <v>18</v>
      </c>
      <c r="B1043" s="4" t="s">
        <v>312</v>
      </c>
      <c r="C1043" s="5">
        <f>TRUNC('Poliof40 - LIVROB'!$D$821)</f>
        <v>2</v>
      </c>
      <c r="D1043" s="4" t="s">
        <v>312</v>
      </c>
      <c r="E1043" s="5">
        <f>TRUNC('Poliof40 - LIVROB'!$D$822)</f>
        <v>30</v>
      </c>
      <c r="F1043" s="4" t="s">
        <v>312</v>
      </c>
      <c r="G1043" s="5">
        <f>TRUNC('Poliof40 - LIVROB'!$D$823)</f>
        <v>21</v>
      </c>
      <c r="H1043" s="4" t="s">
        <v>312</v>
      </c>
      <c r="I1043" s="5">
        <f>TRUNC('Poliof40 - LIVROB'!$D$824)</f>
        <v>17</v>
      </c>
      <c r="J1043" s="4" t="s">
        <v>312</v>
      </c>
      <c r="K1043" s="5">
        <f>TRUNC('Poliof40 - LIVROB'!$D$825)</f>
        <v>0</v>
      </c>
      <c r="L1043" s="4" t="s">
        <v>312</v>
      </c>
      <c r="M1043" s="5">
        <f>TRUNC('Poliof40 - LIVROB'!$D$826)</f>
        <v>0</v>
      </c>
      <c r="N1043" s="4" t="s">
        <v>312</v>
      </c>
      <c r="O1043" s="5">
        <f>TRUNC('Poliof40 - LIVROB'!$D$827)</f>
        <v>0</v>
      </c>
      <c r="P1043" s="4" t="s">
        <v>312</v>
      </c>
      <c r="Q1043" s="5">
        <f>TRUNC('Poliof40 - LIVROB'!$D$828)</f>
        <v>0</v>
      </c>
      <c r="R1043" s="4" t="s">
        <v>312</v>
      </c>
      <c r="S1043" s="5">
        <f>TRUNC('Poliof40 - LIVROB'!$D$829)</f>
        <v>0</v>
      </c>
      <c r="T1043" s="4" t="s">
        <v>312</v>
      </c>
      <c r="U1043" s="5">
        <f>TRUNC('Poliof40 - LIVROB'!$D$830)</f>
        <v>0</v>
      </c>
      <c r="V1043" s="4" t="s">
        <v>312</v>
      </c>
      <c r="W1043" s="5">
        <f>TRUNC('Poliof40 - LIVROB'!$D$831)</f>
        <v>0</v>
      </c>
      <c r="X1043" s="4" t="s">
        <v>312</v>
      </c>
      <c r="Y1043" s="5">
        <f>TRUNC('Poliof40 - LIVROB'!$D$832)</f>
        <v>0</v>
      </c>
      <c r="Z1043" s="4" t="s">
        <v>312</v>
      </c>
      <c r="AA1043" s="1">
        <f>TRUNC('Poliof40 - LIVROB'!$D$833)</f>
        <v>0</v>
      </c>
    </row>
    <row r="1044" spans="1:27" ht="12.75" hidden="1">
      <c r="A1044" s="5">
        <f>TRUNC('Poliof40 - LIVROB'!$G$820)</f>
        <v>16</v>
      </c>
      <c r="B1044" s="4" t="s">
        <v>312</v>
      </c>
      <c r="C1044" s="5">
        <f>TRUNC('Poliof40 - LIVROB'!$G$821)</f>
        <v>11</v>
      </c>
      <c r="D1044" s="4" t="s">
        <v>312</v>
      </c>
      <c r="E1044" s="5">
        <f>TRUNC('Poliof40 - LIVROB'!$G$822)</f>
        <v>12</v>
      </c>
      <c r="F1044" s="4" t="s">
        <v>312</v>
      </c>
      <c r="G1044" s="5">
        <f>TRUNC('Poliof40 - LIVROB'!$G$823)</f>
        <v>22</v>
      </c>
      <c r="H1044" s="4" t="s">
        <v>312</v>
      </c>
      <c r="I1044" s="5">
        <f>TRUNC('Poliof40 - LIVROB'!$G$824)</f>
        <v>18</v>
      </c>
      <c r="J1044" s="4" t="s">
        <v>312</v>
      </c>
      <c r="K1044" s="5">
        <f>TRUNC('Poliof40 - LIVROB'!$G$825)</f>
        <v>0</v>
      </c>
      <c r="L1044" s="4" t="s">
        <v>312</v>
      </c>
      <c r="M1044" s="5">
        <f>TRUNC('Poliof40 - LIVROB'!$G$826)</f>
        <v>0</v>
      </c>
      <c r="N1044" s="4" t="s">
        <v>312</v>
      </c>
      <c r="O1044" s="5">
        <f>TRUNC('Poliof40 - LIVROB'!$G$827)</f>
        <v>0</v>
      </c>
      <c r="P1044" s="4" t="s">
        <v>312</v>
      </c>
      <c r="Q1044" s="5">
        <f>TRUNC('Poliof40 - LIVROB'!$G$828)</f>
        <v>0</v>
      </c>
      <c r="R1044" s="4" t="s">
        <v>312</v>
      </c>
      <c r="S1044" s="5">
        <f>TRUNC('Poliof40 - LIVROB'!$G$829)</f>
        <v>0</v>
      </c>
      <c r="T1044" s="4" t="s">
        <v>312</v>
      </c>
      <c r="U1044" s="5">
        <f>TRUNC('Poliof40 - LIVROB'!$G$830)</f>
        <v>0</v>
      </c>
      <c r="V1044" s="4" t="s">
        <v>312</v>
      </c>
      <c r="W1044" s="5">
        <f>TRUNC('Poliof40 - LIVROB'!$G$831)</f>
        <v>0</v>
      </c>
      <c r="X1044" s="4" t="s">
        <v>312</v>
      </c>
      <c r="Y1044" s="5">
        <f>TRUNC('Poliof40 - LIVROB'!$G$832)</f>
        <v>0</v>
      </c>
      <c r="Z1044" s="4" t="s">
        <v>312</v>
      </c>
      <c r="AA1044" s="1">
        <f>TRUNC('Poliof40 - LIVROB'!$G$833)</f>
        <v>0</v>
      </c>
    </row>
    <row r="1045" spans="1:27" ht="12.75" hidden="1">
      <c r="A1045" s="5">
        <f>TRUNC('Poliof40 - LIVROB'!$J$820)</f>
        <v>12</v>
      </c>
      <c r="B1045" s="4" t="s">
        <v>312</v>
      </c>
      <c r="C1045" s="5">
        <f>TRUNC('Poliof40 - LIVROB'!$J$821)</f>
        <v>11</v>
      </c>
      <c r="D1045" s="4" t="s">
        <v>312</v>
      </c>
      <c r="E1045" s="5">
        <f>TRUNC('Poliof40 - LIVROB'!$J$822)</f>
        <v>9</v>
      </c>
      <c r="F1045" s="4" t="s">
        <v>312</v>
      </c>
      <c r="G1045" s="5">
        <f>TRUNC('Poliof40 - LIVROB'!$J$823)</f>
        <v>22</v>
      </c>
      <c r="H1045" s="4" t="s">
        <v>312</v>
      </c>
      <c r="I1045" s="5">
        <f>TRUNC('Poliof40 - LIVROB'!$J$824)</f>
        <v>18</v>
      </c>
      <c r="J1045" s="4" t="s">
        <v>312</v>
      </c>
      <c r="K1045" s="5">
        <f>TRUNC('Poliof40 - LIVROB'!$J$825)</f>
        <v>0</v>
      </c>
      <c r="L1045" s="4" t="s">
        <v>312</v>
      </c>
      <c r="M1045" s="5">
        <f>TRUNC('Poliof40 - LIVROB'!$J$826)</f>
        <v>0</v>
      </c>
      <c r="N1045" s="4" t="s">
        <v>312</v>
      </c>
      <c r="O1045" s="5">
        <f>TRUNC('Poliof40 - LIVROB'!$J$827)</f>
        <v>0</v>
      </c>
      <c r="P1045" s="4" t="s">
        <v>312</v>
      </c>
      <c r="Q1045" s="5">
        <f>TRUNC('Poliof40 - LIVROB'!$J$828)</f>
        <v>0</v>
      </c>
      <c r="R1045" s="4" t="s">
        <v>312</v>
      </c>
      <c r="S1045" s="5">
        <f>TRUNC('Poliof40 - LIVROB'!$J$829)</f>
        <v>0</v>
      </c>
      <c r="T1045" s="4" t="s">
        <v>312</v>
      </c>
      <c r="U1045" s="5">
        <f>TRUNC('Poliof40 - LIVROB'!$J$830)</f>
        <v>0</v>
      </c>
      <c r="V1045" s="4" t="s">
        <v>312</v>
      </c>
      <c r="W1045" s="5">
        <f>TRUNC('Poliof40 - LIVROB'!$J$831)</f>
        <v>0</v>
      </c>
      <c r="X1045" s="4" t="s">
        <v>312</v>
      </c>
      <c r="Y1045" s="5">
        <f>TRUNC('Poliof40 - LIVROB'!$J$832)</f>
        <v>0</v>
      </c>
      <c r="Z1045" s="4" t="s">
        <v>312</v>
      </c>
      <c r="AA1045" s="1">
        <f>TRUNC('Poliof40 - LIVROB'!$J$833)</f>
        <v>0</v>
      </c>
    </row>
    <row r="1046" spans="1:27" ht="12.75" hidden="1">
      <c r="A1046" s="5">
        <f>TRUNC('Poliof40 - LIVROB'!$M$820)</f>
        <v>18</v>
      </c>
      <c r="B1046" s="4" t="s">
        <v>312</v>
      </c>
      <c r="C1046" s="5">
        <f>TRUNC('Poliof40 - LIVROB'!$M$821)</f>
        <v>13</v>
      </c>
      <c r="D1046" s="4" t="s">
        <v>312</v>
      </c>
      <c r="E1046" s="5">
        <f>TRUNC('Poliof40 - LIVROB'!$M$822)</f>
        <v>30</v>
      </c>
      <c r="F1046" s="4" t="s">
        <v>312</v>
      </c>
      <c r="G1046" s="5">
        <f>TRUNC('Poliof40 - LIVROB'!$M$823)</f>
        <v>22</v>
      </c>
      <c r="H1046" s="4" t="s">
        <v>312</v>
      </c>
      <c r="I1046" s="5">
        <f>TRUNC('Poliof40 - LIVROB'!$M$824)</f>
        <v>24</v>
      </c>
      <c r="J1046" s="4" t="s">
        <v>312</v>
      </c>
      <c r="K1046" s="5">
        <f>TRUNC('Poliof40 - LIVROB'!$M$825)</f>
        <v>0</v>
      </c>
      <c r="L1046" s="4" t="s">
        <v>312</v>
      </c>
      <c r="M1046" s="5">
        <f>TRUNC('Poliof40 - LIVROB'!$M$826)</f>
        <v>0</v>
      </c>
      <c r="N1046" s="4" t="s">
        <v>312</v>
      </c>
      <c r="O1046" s="5">
        <f>TRUNC('Poliof40 - LIVROB'!$M$827)</f>
        <v>0</v>
      </c>
      <c r="P1046" s="4" t="s">
        <v>312</v>
      </c>
      <c r="Q1046" s="5">
        <f>TRUNC('Poliof40 - LIVROB'!$M$828)</f>
        <v>0</v>
      </c>
      <c r="R1046" s="4" t="s">
        <v>312</v>
      </c>
      <c r="S1046" s="5">
        <f>TRUNC('Poliof40 - LIVROB'!$M$829)</f>
        <v>0</v>
      </c>
      <c r="T1046" s="4" t="s">
        <v>312</v>
      </c>
      <c r="U1046" s="5">
        <f>TRUNC('Poliof40 - LIVROB'!$M$830)</f>
        <v>0</v>
      </c>
      <c r="V1046" s="4" t="s">
        <v>312</v>
      </c>
      <c r="W1046" s="5">
        <f>TRUNC('Poliof40 - LIVROB'!$M$831)</f>
        <v>0</v>
      </c>
      <c r="X1046" s="4" t="s">
        <v>312</v>
      </c>
      <c r="Y1046" s="5">
        <f>TRUNC('Poliof40 - LIVROB'!$M$832)</f>
        <v>0</v>
      </c>
      <c r="Z1046" s="4" t="s">
        <v>312</v>
      </c>
      <c r="AA1046" s="1">
        <f>TRUNC('Poliof40 - LIVROB'!$M$833)</f>
        <v>0</v>
      </c>
    </row>
    <row r="1047" spans="1:27" ht="12.75" hidden="1">
      <c r="A1047" s="5">
        <f>TRUNC('Poliof40 - LIVROB'!$D$864)</f>
        <v>19</v>
      </c>
      <c r="B1047" s="4" t="s">
        <v>312</v>
      </c>
      <c r="C1047" s="5">
        <f>TRUNC('Poliof40 - LIVROB'!$D$865)</f>
        <v>58</v>
      </c>
      <c r="D1047" s="4" t="s">
        <v>312</v>
      </c>
      <c r="E1047" s="5">
        <f>TRUNC('Poliof40 - LIVROB'!$D$866)</f>
        <v>27</v>
      </c>
      <c r="F1047" s="4" t="s">
        <v>312</v>
      </c>
      <c r="G1047" s="5">
        <f>TRUNC('Poliof40 - LIVROB'!$D$867)</f>
        <v>89</v>
      </c>
      <c r="H1047" s="4" t="s">
        <v>312</v>
      </c>
      <c r="I1047" s="5">
        <f>TRUNC('Poliof40 - LIVROB'!$D$868)</f>
        <v>0</v>
      </c>
      <c r="J1047" s="4" t="s">
        <v>312</v>
      </c>
      <c r="K1047" s="5">
        <f>TRUNC('Poliof40 - LIVROB'!$D$869)</f>
        <v>0</v>
      </c>
      <c r="L1047" s="4" t="s">
        <v>312</v>
      </c>
      <c r="M1047" s="5">
        <f>TRUNC('Poliof40 - LIVROB'!$D$870)</f>
        <v>0</v>
      </c>
      <c r="N1047" s="4" t="s">
        <v>312</v>
      </c>
      <c r="O1047" s="5">
        <f>TRUNC('Poliof40 - LIVROB'!$D$871)</f>
        <v>0</v>
      </c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</row>
    <row r="1048" spans="1:27" ht="12.75" hidden="1">
      <c r="A1048" s="5">
        <f>TRUNC('Poliof40 - LIVROB'!$G$864)</f>
        <v>26</v>
      </c>
      <c r="B1048" s="4" t="s">
        <v>312</v>
      </c>
      <c r="C1048" s="5">
        <f>TRUNC('Poliof40 - LIVROB'!$G$865)</f>
        <v>39</v>
      </c>
      <c r="D1048" s="4" t="s">
        <v>312</v>
      </c>
      <c r="E1048" s="5">
        <f>TRUNC('Poliof40 - LIVROB'!$G$866)</f>
        <v>27</v>
      </c>
      <c r="F1048" s="4" t="s">
        <v>312</v>
      </c>
      <c r="G1048" s="5">
        <f>TRUNC('Poliof40 - LIVROB'!$G$867)</f>
        <v>93</v>
      </c>
      <c r="H1048" s="4" t="s">
        <v>312</v>
      </c>
      <c r="I1048" s="5">
        <f>TRUNC('Poliof40 - LIVROB'!$G$868)</f>
        <v>0</v>
      </c>
      <c r="J1048" s="4" t="s">
        <v>312</v>
      </c>
      <c r="K1048" s="5">
        <f>TRUNC('Poliof40 - LIVROB'!$G$869)</f>
        <v>0</v>
      </c>
      <c r="L1048" s="4" t="s">
        <v>312</v>
      </c>
      <c r="M1048" s="5">
        <f>TRUNC('Poliof40 - LIVROB'!$G$870)</f>
        <v>0</v>
      </c>
      <c r="N1048" s="4" t="s">
        <v>312</v>
      </c>
      <c r="O1048" s="5">
        <f>TRUNC('Poliof40 - LIVROB'!$G$871)</f>
        <v>0</v>
      </c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</row>
    <row r="1049" spans="1:27" ht="12.75" hidden="1">
      <c r="A1049" s="5">
        <f>TRUNC('Poliof40 - LIVROB'!$J$864)</f>
        <v>34</v>
      </c>
      <c r="B1049" s="4" t="s">
        <v>312</v>
      </c>
      <c r="C1049" s="5">
        <f>TRUNC('Poliof40 - LIVROB'!$J$865)</f>
        <v>73</v>
      </c>
      <c r="D1049" s="4" t="s">
        <v>312</v>
      </c>
      <c r="E1049" s="5">
        <f>TRUNC('Poliof40 - LIVROB'!$J$866)</f>
        <v>36</v>
      </c>
      <c r="F1049" s="4" t="s">
        <v>312</v>
      </c>
      <c r="G1049" s="5">
        <f>TRUNC('Poliof40 - LIVROB'!$J$867)</f>
        <v>59</v>
      </c>
      <c r="H1049" s="4" t="s">
        <v>312</v>
      </c>
      <c r="I1049" s="5">
        <f>TRUNC('Poliof40 - LIVROB'!$J$868)</f>
        <v>0</v>
      </c>
      <c r="J1049" s="4" t="s">
        <v>312</v>
      </c>
      <c r="K1049" s="5">
        <f>TRUNC('Poliof40 - LIVROB'!$J$869)</f>
        <v>0</v>
      </c>
      <c r="L1049" s="4" t="s">
        <v>312</v>
      </c>
      <c r="M1049" s="5">
        <f>TRUNC('Poliof40 - LIVROB'!$J$870)</f>
        <v>0</v>
      </c>
      <c r="N1049" s="4" t="s">
        <v>312</v>
      </c>
      <c r="O1049" s="5">
        <f>TRUNC('Poliof40 - LIVROB'!$J$871)</f>
        <v>0</v>
      </c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</row>
    <row r="1050" spans="1:27" ht="12.75" hidden="1">
      <c r="A1050" s="393">
        <f>TRUNC('Poliof40 - LIVROB'!$M$864)</f>
        <v>34</v>
      </c>
      <c r="B1050" s="4" t="s">
        <v>312</v>
      </c>
      <c r="C1050" s="5">
        <f>TRUNC('Poliof40 - LIVROB'!$M$865)</f>
        <v>62</v>
      </c>
      <c r="D1050" s="4" t="s">
        <v>312</v>
      </c>
      <c r="E1050" s="5">
        <f>TRUNC('Poliof40 - LIVROB'!$M$866)</f>
        <v>36</v>
      </c>
      <c r="F1050" s="4" t="s">
        <v>312</v>
      </c>
      <c r="G1050" s="5">
        <f>TRUNC('Poliof40 - LIVROB'!$M$867)</f>
        <v>70</v>
      </c>
      <c r="H1050" s="4" t="s">
        <v>312</v>
      </c>
      <c r="I1050" s="5">
        <f>TRUNC('Poliof40 - LIVROB'!$M$868)</f>
        <v>0</v>
      </c>
      <c r="J1050" s="4" t="s">
        <v>312</v>
      </c>
      <c r="K1050" s="5">
        <f>TRUNC('Poliof40 - LIVROB'!$M$869)</f>
        <v>0</v>
      </c>
      <c r="L1050" s="4" t="s">
        <v>312</v>
      </c>
      <c r="M1050" s="5">
        <f>TRUNC('Poliof40 - LIVROB'!$M$870)</f>
        <v>0</v>
      </c>
      <c r="N1050" s="4" t="s">
        <v>312</v>
      </c>
      <c r="O1050" s="5">
        <f>TRUNC('Poliof40 - LIVROB'!$M$871)</f>
        <v>0</v>
      </c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</row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</sheetData>
  <sheetProtection password="CC02" sheet="1" objects="1" scenarios="1"/>
  <printOptions/>
  <pageMargins left="0.7874015748031497" right="0.7874015748031497" top="0.7874015748031497" bottom="0.7874015748031497" header="0.492125985" footer="0.492125985"/>
  <pageSetup blackAndWhite="1" fitToHeight="3" fitToWidth="1" horizontalDpi="300" verticalDpi="300" orientation="portrait" scale="48" r:id="rId3"/>
  <headerFooter alignWithMargins="0">
    <oddHeader>&amp;C&amp;"Arial,Negrito"&amp;14Grupo 3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George</cp:lastModifiedBy>
  <dcterms:created xsi:type="dcterms:W3CDTF">2001-01-17T00:43:41Z</dcterms:created>
  <dcterms:modified xsi:type="dcterms:W3CDTF">2001-01-24T02:27:36Z</dcterms:modified>
  <cp:category/>
  <cp:version/>
  <cp:contentType/>
  <cp:contentStatus/>
</cp:coreProperties>
</file>